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MD" sheetId="1" r:id="rId1"/>
  </sheets>
  <externalReferences>
    <externalReference r:id="rId4"/>
  </externalReferences>
  <definedNames>
    <definedName name="_xlnm.Print_Area" localSheetId="0">'MD'!$A$1:$P$44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<sst xmlns="http://schemas.openxmlformats.org/spreadsheetml/2006/main" count="26" uniqueCount="26">
  <si>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2 &amp; w</t>
  </si>
  <si>
    <t>α/α</t>
  </si>
  <si>
    <t>ByeOrder</t>
  </si>
  <si>
    <t>ByeSum</t>
  </si>
  <si>
    <t>ByeCnt</t>
  </si>
  <si>
    <t>seed</t>
  </si>
  <si>
    <t xml:space="preserve">  Α.Μ.  </t>
  </si>
  <si>
    <t>Ονοματεπώνυμο</t>
  </si>
  <si>
    <t>επώνυμο</t>
  </si>
  <si>
    <t>Σύλλογος</t>
  </si>
  <si>
    <t xml:space="preserve"> </t>
  </si>
  <si>
    <t>62 64</t>
  </si>
  <si>
    <t>60 64</t>
  </si>
  <si>
    <t>64 62</t>
  </si>
  <si>
    <t>61 60</t>
  </si>
  <si>
    <t xml:space="preserve">26 63 (7) </t>
  </si>
  <si>
    <t>winners</t>
  </si>
  <si>
    <t>64 64</t>
  </si>
  <si>
    <t>60 76</t>
  </si>
  <si>
    <t>62 63</t>
  </si>
  <si>
    <t>67(4) 63 (8)</t>
  </si>
  <si>
    <t>46 64 (4)</t>
  </si>
  <si>
    <t>63 75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</si>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</sst>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.00000"/>
    <numFmt numFmtId="166" formatCode="0.0000"/>
    <numFmt numFmtId="167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u val="single"/>
      <sz val="7"/>
      <name val="Arial"/>
      <family val="2"/>
    </font>
    <font>
      <i/>
      <u val="single"/>
      <sz val="7"/>
      <name val="Arial"/>
      <family val="2"/>
    </font>
    <font>
      <b/>
      <i/>
      <sz val="7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5" applyNumberFormat="0" applyFill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4" fillId="2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9" fillId="35" borderId="9" applyNumberFormat="0" applyAlignment="0" applyProtection="0"/>
    <xf numFmtId="0" fontId="50" fillId="36" borderId="10" applyNumberFormat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51" fillId="43" borderId="11" applyNumberFormat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7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46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3" fillId="43" borderId="9" applyNumberFormat="0" applyAlignment="0" applyProtection="0"/>
  </cellStyleXfs>
  <cellXfs count="173">
    <xf numFmtId="0" fontId="0" fillId="0" borderId="0" xfId="0" applyAlignment="1">
      <alignment/>
    </xf>
    <xf numFmtId="0" fontId="20" fillId="0" borderId="0" xfId="0" applyNumberFormat="1" applyFont="1" applyFill="1" applyBorder="1" applyAlignment="1" applyProtection="1" quotePrefix="1">
      <alignment vertical="center"/>
      <protection locked="0"/>
    </xf>
    <xf numFmtId="0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3" fillId="13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48" borderId="0" xfId="0" applyNumberFormat="1" applyFont="1" applyFill="1" applyAlignment="1" applyProtection="1">
      <alignment horizontal="center" vertical="center"/>
      <protection locked="0"/>
    </xf>
    <xf numFmtId="0" fontId="30" fillId="48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48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48" borderId="18" xfId="0" applyFont="1" applyFill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6" fillId="0" borderId="18" xfId="0" applyNumberFormat="1" applyFont="1" applyFill="1" applyBorder="1" applyAlignment="1" applyProtection="1">
      <alignment horizontal="left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0" fontId="35" fillId="0" borderId="19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vertical="center"/>
      <protection locked="0"/>
    </xf>
    <xf numFmtId="0" fontId="18" fillId="0" borderId="19" xfId="0" applyNumberFormat="1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48" borderId="20" xfId="0" applyFont="1" applyFill="1" applyBorder="1" applyAlignment="1" applyProtection="1">
      <alignment horizontal="left" vertical="center"/>
      <protection/>
    </xf>
    <xf numFmtId="0" fontId="18" fillId="0" borderId="20" xfId="0" applyFont="1" applyBorder="1" applyAlignment="1" applyProtection="1">
      <alignment horizontal="left" vertical="center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 applyProtection="1">
      <alignment horizontal="left" vertical="center"/>
      <protection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0" fontId="35" fillId="0" borderId="21" xfId="0" applyNumberFormat="1" applyFont="1" applyFill="1" applyBorder="1" applyAlignment="1" applyProtection="1">
      <alignment horizontal="left" vertical="center"/>
      <protection/>
    </xf>
    <xf numFmtId="0" fontId="32" fillId="13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NumberFormat="1" applyFont="1" applyFill="1" applyBorder="1" applyAlignment="1" applyProtection="1">
      <alignment vertical="center"/>
      <protection locked="0"/>
    </xf>
    <xf numFmtId="0" fontId="18" fillId="0" borderId="22" xfId="0" applyNumberFormat="1" applyFont="1" applyFill="1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/>
    </xf>
    <xf numFmtId="0" fontId="33" fillId="49" borderId="0" xfId="0" applyFont="1" applyFill="1" applyBorder="1" applyAlignment="1" applyProtection="1">
      <alignment horizontal="center" vertical="center"/>
      <protection/>
    </xf>
    <xf numFmtId="0" fontId="33" fillId="48" borderId="0" xfId="0" applyFont="1" applyFill="1" applyBorder="1" applyAlignment="1" applyProtection="1">
      <alignment horizontal="left" vertical="center"/>
      <protection/>
    </xf>
    <xf numFmtId="0" fontId="33" fillId="49" borderId="0" xfId="0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left" vertical="center"/>
      <protection locked="0"/>
    </xf>
    <xf numFmtId="0" fontId="18" fillId="0" borderId="24" xfId="0" applyNumberFormat="1" applyFont="1" applyFill="1" applyBorder="1" applyAlignment="1" applyProtection="1">
      <alignment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/>
    </xf>
    <xf numFmtId="0" fontId="33" fillId="49" borderId="22" xfId="0" applyFont="1" applyFill="1" applyBorder="1" applyAlignment="1" applyProtection="1">
      <alignment horizontal="center" vertical="center"/>
      <protection/>
    </xf>
    <xf numFmtId="0" fontId="33" fillId="48" borderId="22" xfId="0" applyFont="1" applyFill="1" applyBorder="1" applyAlignment="1" applyProtection="1">
      <alignment horizontal="left" vertical="center"/>
      <protection/>
    </xf>
    <xf numFmtId="0" fontId="33" fillId="49" borderId="22" xfId="0" applyFont="1" applyFill="1" applyBorder="1" applyAlignment="1" applyProtection="1">
      <alignment horizontal="left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37" fillId="0" borderId="22" xfId="0" applyNumberFormat="1" applyFont="1" applyFill="1" applyBorder="1" applyAlignment="1" applyProtection="1">
      <alignment horizontal="left" vertical="center"/>
      <protection/>
    </xf>
    <xf numFmtId="0" fontId="25" fillId="0" borderId="22" xfId="0" applyNumberFormat="1" applyFont="1" applyFill="1" applyBorder="1" applyAlignment="1" applyProtection="1">
      <alignment horizontal="left" vertical="center"/>
      <protection/>
    </xf>
    <xf numFmtId="0" fontId="18" fillId="0" borderId="25" xfId="0" applyNumberFormat="1" applyFont="1" applyFill="1" applyBorder="1" applyAlignment="1" applyProtection="1">
      <alignment horizontal="left" vertical="center"/>
      <protection/>
    </xf>
    <xf numFmtId="0" fontId="18" fillId="0" borderId="23" xfId="0" applyNumberFormat="1" applyFont="1" applyFill="1" applyBorder="1" applyAlignment="1" applyProtection="1">
      <alignment horizontal="left" vertical="center"/>
      <protection locked="0"/>
    </xf>
    <xf numFmtId="0" fontId="32" fillId="13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NumberFormat="1" applyFont="1" applyFill="1" applyBorder="1" applyAlignment="1" applyProtection="1">
      <alignment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center" vertical="center"/>
      <protection/>
    </xf>
    <xf numFmtId="0" fontId="33" fillId="48" borderId="18" xfId="0" applyFont="1" applyFill="1" applyBorder="1" applyAlignment="1" applyProtection="1">
      <alignment horizontal="left" vertical="center"/>
      <protection/>
    </xf>
    <xf numFmtId="0" fontId="33" fillId="0" borderId="18" xfId="0" applyFont="1" applyFill="1" applyBorder="1" applyAlignment="1" applyProtection="1">
      <alignment horizontal="left" vertical="center"/>
      <protection/>
    </xf>
    <xf numFmtId="0" fontId="18" fillId="2" borderId="18" xfId="0" applyNumberFormat="1" applyFont="1" applyFill="1" applyBorder="1" applyAlignment="1" applyProtection="1">
      <alignment horizontal="center" vertical="center"/>
      <protection/>
    </xf>
    <xf numFmtId="0" fontId="37" fillId="2" borderId="18" xfId="0" applyNumberFormat="1" applyFont="1" applyFill="1" applyBorder="1" applyAlignment="1" applyProtection="1">
      <alignment horizontal="left" vertical="center"/>
      <protection/>
    </xf>
    <xf numFmtId="0" fontId="25" fillId="2" borderId="18" xfId="0" applyNumberFormat="1" applyFont="1" applyFill="1" applyBorder="1" applyAlignment="1" applyProtection="1">
      <alignment horizontal="left" vertical="center"/>
      <protection/>
    </xf>
    <xf numFmtId="0" fontId="18" fillId="2" borderId="19" xfId="0" applyNumberFormat="1" applyFont="1" applyFill="1" applyBorder="1" applyAlignment="1" applyProtection="1">
      <alignment horizontal="left" vertical="center"/>
      <protection/>
    </xf>
    <xf numFmtId="0" fontId="32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3" borderId="20" xfId="0" applyFont="1" applyFill="1" applyBorder="1" applyAlignment="1" applyProtection="1">
      <alignment horizontal="center" vertical="center"/>
      <protection/>
    </xf>
    <xf numFmtId="0" fontId="33" fillId="0" borderId="20" xfId="0" applyFont="1" applyBorder="1" applyAlignment="1" applyProtection="1">
      <alignment horizontal="center" vertical="center"/>
      <protection/>
    </xf>
    <xf numFmtId="0" fontId="33" fillId="48" borderId="20" xfId="0" applyFont="1" applyFill="1" applyBorder="1" applyAlignment="1" applyProtection="1">
      <alignment horizontal="left" vertical="center"/>
      <protection/>
    </xf>
    <xf numFmtId="0" fontId="33" fillId="0" borderId="20" xfId="0" applyFont="1" applyFill="1" applyBorder="1" applyAlignment="1" applyProtection="1">
      <alignment horizontal="left" vertical="center"/>
      <protection/>
    </xf>
    <xf numFmtId="0" fontId="18" fillId="2" borderId="20" xfId="0" applyNumberFormat="1" applyFont="1" applyFill="1" applyBorder="1" applyAlignment="1" applyProtection="1">
      <alignment horizontal="center" vertical="center"/>
      <protection/>
    </xf>
    <xf numFmtId="0" fontId="37" fillId="2" borderId="20" xfId="0" applyNumberFormat="1" applyFont="1" applyFill="1" applyBorder="1" applyAlignment="1" applyProtection="1">
      <alignment horizontal="left" vertical="center"/>
      <protection/>
    </xf>
    <xf numFmtId="0" fontId="25" fillId="2" borderId="20" xfId="0" applyNumberFormat="1" applyFont="1" applyFill="1" applyBorder="1" applyAlignment="1" applyProtection="1">
      <alignment horizontal="left" vertical="center"/>
      <protection/>
    </xf>
    <xf numFmtId="0" fontId="18" fillId="2" borderId="21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vertical="center"/>
      <protection locked="0"/>
    </xf>
    <xf numFmtId="0" fontId="18" fillId="2" borderId="0" xfId="0" applyNumberFormat="1" applyFont="1" applyFill="1" applyBorder="1" applyAlignment="1" applyProtection="1">
      <alignment horizontal="center" vertical="center"/>
      <protection/>
    </xf>
    <xf numFmtId="0" fontId="37" fillId="2" borderId="0" xfId="0" applyNumberFormat="1" applyFont="1" applyFill="1" applyBorder="1" applyAlignment="1" applyProtection="1">
      <alignment horizontal="left" vertical="center"/>
      <protection/>
    </xf>
    <xf numFmtId="0" fontId="25" fillId="2" borderId="0" xfId="0" applyNumberFormat="1" applyFont="1" applyFill="1" applyBorder="1" applyAlignment="1" applyProtection="1">
      <alignment horizontal="left" vertical="center"/>
      <protection/>
    </xf>
    <xf numFmtId="0" fontId="18" fillId="2" borderId="23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 locked="0"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37" fillId="2" borderId="22" xfId="0" applyNumberFormat="1" applyFont="1" applyFill="1" applyBorder="1" applyAlignment="1" applyProtection="1">
      <alignment horizontal="left" vertical="center"/>
      <protection/>
    </xf>
    <xf numFmtId="0" fontId="25" fillId="2" borderId="22" xfId="0" applyNumberFormat="1" applyFont="1" applyFill="1" applyBorder="1" applyAlignment="1" applyProtection="1">
      <alignment horizontal="left" vertical="center"/>
      <protection/>
    </xf>
    <xf numFmtId="0" fontId="18" fillId="2" borderId="25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37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32" fillId="13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32" fillId="0" borderId="30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NumberFormat="1" applyFont="1" applyFill="1" applyBorder="1" applyAlignment="1" applyProtection="1">
      <alignment vertical="center"/>
      <protection locked="0"/>
    </xf>
    <xf numFmtId="0" fontId="18" fillId="0" borderId="25" xfId="0" applyNumberFormat="1" applyFont="1" applyFill="1" applyBorder="1" applyAlignment="1" applyProtection="1">
      <alignment vertical="center"/>
      <protection locked="0"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33" fillId="49" borderId="18" xfId="0" applyFont="1" applyFill="1" applyBorder="1" applyAlignment="1" applyProtection="1">
      <alignment horizontal="left" vertical="center"/>
      <protection/>
    </xf>
    <xf numFmtId="0" fontId="18" fillId="0" borderId="30" xfId="0" applyNumberFormat="1" applyFont="1" applyFill="1" applyBorder="1" applyAlignment="1" applyProtection="1">
      <alignment vertical="center"/>
      <protection locked="0"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49" borderId="20" xfId="0" applyFont="1" applyFill="1" applyBorder="1" applyAlignment="1" applyProtection="1">
      <alignment horizontal="left" vertical="center"/>
      <protection/>
    </xf>
    <xf numFmtId="0" fontId="38" fillId="0" borderId="23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5" fillId="2" borderId="0" xfId="0" applyNumberFormat="1" applyFont="1" applyFill="1" applyBorder="1" applyAlignment="1" applyProtection="1">
      <alignment horizontal="center" vertical="center"/>
      <protection/>
    </xf>
    <xf numFmtId="0" fontId="36" fillId="2" borderId="0" xfId="0" applyNumberFormat="1" applyFont="1" applyFill="1" applyBorder="1" applyAlignment="1" applyProtection="1">
      <alignment horizontal="left" vertical="center"/>
      <protection/>
    </xf>
    <xf numFmtId="0" fontId="35" fillId="2" borderId="23" xfId="0" applyNumberFormat="1" applyFont="1" applyFill="1" applyBorder="1" applyAlignment="1" applyProtection="1">
      <alignment horizontal="left" vertical="center"/>
      <protection/>
    </xf>
    <xf numFmtId="0" fontId="18" fillId="5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left" vertical="center"/>
      <protection/>
    </xf>
    <xf numFmtId="0" fontId="35" fillId="2" borderId="22" xfId="0" applyNumberFormat="1" applyFont="1" applyFill="1" applyBorder="1" applyAlignment="1" applyProtection="1">
      <alignment horizontal="center" vertical="center"/>
      <protection/>
    </xf>
    <xf numFmtId="0" fontId="36" fillId="2" borderId="22" xfId="0" applyNumberFormat="1" applyFont="1" applyFill="1" applyBorder="1" applyAlignment="1" applyProtection="1">
      <alignment horizontal="left" vertical="center"/>
      <protection/>
    </xf>
    <xf numFmtId="0" fontId="35" fillId="2" borderId="25" xfId="0" applyNumberFormat="1" applyFont="1" applyFill="1" applyBorder="1" applyAlignment="1" applyProtection="1">
      <alignment horizontal="left" vertical="center"/>
      <protection/>
    </xf>
    <xf numFmtId="0" fontId="18" fillId="5" borderId="25" xfId="0" applyNumberFormat="1" applyFont="1" applyFill="1" applyBorder="1" applyAlignment="1" applyProtection="1">
      <alignment horizontal="center" vertical="center"/>
      <protection/>
    </xf>
    <xf numFmtId="0" fontId="18" fillId="33" borderId="20" xfId="0" applyFont="1" applyFill="1" applyBorder="1" applyAlignment="1" applyProtection="1">
      <alignment horizontal="center" vertical="center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26" xfId="0" applyNumberFormat="1" applyFont="1" applyFill="1" applyBorder="1" applyAlignment="1" applyProtection="1">
      <alignment vertical="center"/>
      <protection locked="0"/>
    </xf>
    <xf numFmtId="0" fontId="33" fillId="49" borderId="18" xfId="0" applyFont="1" applyFill="1" applyBorder="1" applyAlignment="1" applyProtection="1">
      <alignment horizontal="center" vertical="center"/>
      <protection/>
    </xf>
    <xf numFmtId="0" fontId="33" fillId="49" borderId="2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18" fillId="48" borderId="22" xfId="0" applyNumberFormat="1" applyFont="1" applyFill="1" applyBorder="1" applyAlignment="1" applyProtection="1">
      <alignment horizontal="left" vertical="center"/>
      <protection/>
    </xf>
    <xf numFmtId="0" fontId="18" fillId="0" borderId="22" xfId="0" applyNumberFormat="1" applyFont="1" applyFill="1" applyBorder="1" applyAlignment="1" applyProtection="1">
      <alignment horizontal="left" vertical="center"/>
      <protection/>
    </xf>
    <xf numFmtId="0" fontId="36" fillId="2" borderId="22" xfId="0" applyNumberFormat="1" applyFont="1" applyFill="1" applyBorder="1" applyAlignment="1" applyProtection="1">
      <alignment vertical="center"/>
      <protection/>
    </xf>
    <xf numFmtId="0" fontId="25" fillId="2" borderId="22" xfId="0" applyNumberFormat="1" applyFont="1" applyFill="1" applyBorder="1" applyAlignment="1" applyProtection="1">
      <alignment vertical="center"/>
      <protection/>
    </xf>
    <xf numFmtId="0" fontId="35" fillId="2" borderId="25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Alignment="1" applyProtection="1">
      <alignment vertical="center"/>
      <protection locked="0"/>
    </xf>
    <xf numFmtId="0" fontId="32" fillId="0" borderId="0" xfId="0" applyNumberFormat="1" applyFont="1" applyFill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39" fillId="0" borderId="0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 quotePrefix="1">
      <alignment vertical="center"/>
      <protection locked="0"/>
    </xf>
    <xf numFmtId="0" fontId="33" fillId="2" borderId="18" xfId="0" applyNumberFormat="1" applyFont="1" applyFill="1" applyBorder="1" applyAlignment="1" applyProtection="1">
      <alignment horizontal="center" vertical="center"/>
      <protection/>
    </xf>
    <xf numFmtId="0" fontId="33" fillId="2" borderId="20" xfId="0" applyNumberFormat="1" applyFont="1" applyFill="1" applyBorder="1" applyAlignment="1" applyProtection="1">
      <alignment horizontal="center" vertical="center"/>
      <protection/>
    </xf>
    <xf numFmtId="0" fontId="33" fillId="2" borderId="0" xfId="0" applyNumberFormat="1" applyFont="1" applyFill="1" applyBorder="1" applyAlignment="1" applyProtection="1">
      <alignment horizontal="center" vertical="center"/>
      <protection/>
    </xf>
    <xf numFmtId="0" fontId="33" fillId="2" borderId="22" xfId="0" applyNumberFormat="1" applyFont="1" applyFill="1" applyBorder="1" applyAlignment="1" applyProtection="1">
      <alignment horizontal="center" vertical="center"/>
      <protection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0" fontId="33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18" xfId="0" applyNumberFormat="1" applyFont="1" applyFill="1" applyBorder="1" applyAlignment="1" applyProtection="1">
      <alignment horizontal="center" vertical="center"/>
      <protection/>
    </xf>
    <xf numFmtId="0" fontId="34" fillId="0" borderId="2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0" fontId="34" fillId="2" borderId="0" xfId="0" applyNumberFormat="1" applyFont="1" applyFill="1" applyBorder="1" applyAlignment="1" applyProtection="1">
      <alignment horizontal="center" vertical="center"/>
      <protection/>
    </xf>
    <xf numFmtId="0" fontId="34" fillId="2" borderId="22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6" fillId="0" borderId="0" xfId="0" applyNumberFormat="1" applyFont="1" applyFill="1" applyAlignment="1" applyProtection="1">
      <alignment horizontal="center" vertical="center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%20nikiforakis\&#932;&#945;%20&#941;&#947;&#947;&#961;&#945;&#966;&#940;%20&#956;&#959;&#965;\Downloads\&#960;&#945;&#957;&#949;&#955;&#955;&#945;&#948;&#953;&#954;&#959;\&#917;2-3%20&#919;&#929;&#913;%20&#913;12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MD"/>
      <sheetName val="Matches"/>
      <sheetName val="notes"/>
      <sheetName val="Rankings"/>
      <sheetName val="CalcPrg"/>
      <sheetName val="tmp"/>
    </sheetNames>
    <definedNames>
      <definedName name="MD2pdf"/>
    </definedNames>
    <sheetDataSet>
      <sheetData sheetId="0">
        <row r="2">
          <cell r="E2">
            <v>4</v>
          </cell>
        </row>
        <row r="3">
          <cell r="B3" t="str">
            <v>ΕΦΟΑ &amp; Γ'</v>
          </cell>
          <cell r="E3">
            <v>3</v>
          </cell>
        </row>
        <row r="4">
          <cell r="B4" t="str">
            <v>3ο Ε2</v>
          </cell>
        </row>
        <row r="5">
          <cell r="B5" t="str">
            <v>e2-12</v>
          </cell>
        </row>
        <row r="6">
          <cell r="B6" t="str">
            <v>ΗΡΑΚΛΕΙΟ Ο.Α.</v>
          </cell>
        </row>
        <row r="7">
          <cell r="B7" t="str">
            <v>Α12</v>
          </cell>
        </row>
        <row r="8">
          <cell r="B8" t="str">
            <v>16</v>
          </cell>
        </row>
        <row r="9">
          <cell r="B9" t="str">
            <v>20 Ιουνίου</v>
          </cell>
        </row>
        <row r="10">
          <cell r="B10" t="str">
            <v>Δώρα Πατσουράκου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1</v>
          </cell>
          <cell r="H16">
            <v>1</v>
          </cell>
        </row>
        <row r="17">
          <cell r="G17">
            <v>2</v>
          </cell>
          <cell r="H17">
            <v>2</v>
          </cell>
        </row>
        <row r="18">
          <cell r="B18">
            <v>4</v>
          </cell>
          <cell r="G18">
            <v>3</v>
          </cell>
          <cell r="H18">
            <v>3</v>
          </cell>
        </row>
        <row r="19">
          <cell r="B19">
            <v>4</v>
          </cell>
          <cell r="G19">
            <v>4</v>
          </cell>
          <cell r="H19">
            <v>4</v>
          </cell>
        </row>
        <row r="20">
          <cell r="G20">
            <v>5</v>
          </cell>
          <cell r="H20">
            <v>11</v>
          </cell>
        </row>
        <row r="21">
          <cell r="G21">
            <v>6</v>
          </cell>
          <cell r="H21">
            <v>5</v>
          </cell>
        </row>
        <row r="22">
          <cell r="G22">
            <v>7</v>
          </cell>
          <cell r="H22">
            <v>10</v>
          </cell>
        </row>
        <row r="23">
          <cell r="G23">
            <v>8</v>
          </cell>
          <cell r="H23">
            <v>6</v>
          </cell>
        </row>
        <row r="24">
          <cell r="G24">
            <v>9</v>
          </cell>
          <cell r="H24">
            <v>8</v>
          </cell>
        </row>
        <row r="25">
          <cell r="B25" t="str">
            <v>ok</v>
          </cell>
          <cell r="G25">
            <v>10</v>
          </cell>
          <cell r="H25">
            <v>12</v>
          </cell>
        </row>
        <row r="26">
          <cell r="G26">
            <v>11</v>
          </cell>
          <cell r="H26">
            <v>7</v>
          </cell>
        </row>
        <row r="27">
          <cell r="G27">
            <v>12</v>
          </cell>
          <cell r="H27">
            <v>9</v>
          </cell>
        </row>
      </sheetData>
      <sheetData sheetId="1">
        <row r="3">
          <cell r="A3">
            <v>1</v>
          </cell>
          <cell r="B3">
            <v>17</v>
          </cell>
          <cell r="C3">
            <v>105.5</v>
          </cell>
          <cell r="D3">
            <v>28879</v>
          </cell>
          <cell r="E3" t="str">
            <v>ΜΠΑΛΤΑΣ ΜΑΞΙΜΟΣ</v>
          </cell>
          <cell r="F3" t="str">
            <v>Α.Κ.Α.ΜΑΡΑΘΩΝΑ</v>
          </cell>
          <cell r="G3">
            <v>8</v>
          </cell>
          <cell r="H3">
            <v>66</v>
          </cell>
          <cell r="I3">
            <v>29399</v>
          </cell>
          <cell r="J3" t="str">
            <v>ΑΡΒΑΝΙΤΗΣ ΑΛΕΞΑΝΔΡΟΣ</v>
          </cell>
          <cell r="K3" t="str">
            <v>Α.Κ.Α.ΜΑΡΑΘΩΝΑ</v>
          </cell>
        </row>
        <row r="4">
          <cell r="A4">
            <v>2</v>
          </cell>
          <cell r="B4">
            <v>14</v>
          </cell>
          <cell r="C4">
            <v>112</v>
          </cell>
          <cell r="D4">
            <v>30060</v>
          </cell>
          <cell r="E4" t="str">
            <v>ΡΟΥΜΠΗΣ ΑΛΕΞΑΝΔΡΟΣ</v>
          </cell>
          <cell r="F4" t="str">
            <v>Ο.Α.ΧΑΛΚΙΔΑΣ</v>
          </cell>
          <cell r="G4">
            <v>7</v>
          </cell>
          <cell r="H4">
            <v>53</v>
          </cell>
          <cell r="I4">
            <v>31476</v>
          </cell>
          <cell r="J4" t="str">
            <v>ΔΡΑΚΟΣ ΑΘΑΝΑΣΙΟΣ</v>
          </cell>
          <cell r="K4" t="str">
            <v>Ο.Α.ΑΘΗΝΩΝ</v>
          </cell>
        </row>
        <row r="5">
          <cell r="A5">
            <v>3</v>
          </cell>
          <cell r="B5">
            <v>13</v>
          </cell>
          <cell r="C5">
            <v>86</v>
          </cell>
          <cell r="D5">
            <v>30061</v>
          </cell>
          <cell r="E5" t="str">
            <v>ΑΝΑΓΝΩΣΤΟΠΟΥΛΟΣ ΔΗΜΗΤΡΗΣ</v>
          </cell>
          <cell r="F5" t="str">
            <v>Ο.Α.ΚΕΡΑΤΣΙΝΙΟΥ</v>
          </cell>
          <cell r="G5">
            <v>7</v>
          </cell>
          <cell r="H5">
            <v>60</v>
          </cell>
          <cell r="I5">
            <v>31285</v>
          </cell>
          <cell r="J5" t="str">
            <v>ΚΩΣΤΟΥΡΟΣ ΔΗΜΗΤΡΙΟΣ</v>
          </cell>
          <cell r="K5" t="str">
            <v>ΠΕΥΚΗ Γ.ΚΑΛΟΒΕΛΩΝΗΣ</v>
          </cell>
        </row>
        <row r="6">
          <cell r="A6">
            <v>4</v>
          </cell>
          <cell r="B6">
            <v>11</v>
          </cell>
          <cell r="C6">
            <v>109</v>
          </cell>
          <cell r="D6">
            <v>30989</v>
          </cell>
          <cell r="E6" t="str">
            <v>ΓΚΙΘΚΟΠΟΥΛΟΣ ΑΡΙΣΤΟΤΕΛΗΣ</v>
          </cell>
          <cell r="F6" t="str">
            <v>Ο.Α.ΚΑΛΑΜΑΚΙΟΥ</v>
          </cell>
          <cell r="G6">
            <v>7</v>
          </cell>
          <cell r="H6">
            <v>61</v>
          </cell>
          <cell r="I6">
            <v>32212</v>
          </cell>
          <cell r="J6" t="str">
            <v>ΡΑΠΤΗΣ ΚΩΝΣΤΑΝΤΙΝΟΣ</v>
          </cell>
          <cell r="K6" t="str">
            <v>Σ.Α.ΡΑΦΗΝΑΣ</v>
          </cell>
        </row>
        <row r="7">
          <cell r="A7">
            <v>5</v>
          </cell>
          <cell r="B7">
            <v>11</v>
          </cell>
          <cell r="C7">
            <v>41.2</v>
          </cell>
          <cell r="D7">
            <v>30531</v>
          </cell>
          <cell r="E7" t="str">
            <v>ΚΩΝΣΤΑΝΤΑΡΑΚΗΣ ΑΝΔΡΕΑΣ</v>
          </cell>
          <cell r="F7" t="str">
            <v>Ο.Α.ΧΑΝΙΩΝ</v>
          </cell>
          <cell r="G7">
            <v>4</v>
          </cell>
          <cell r="H7">
            <v>15.5</v>
          </cell>
          <cell r="I7">
            <v>26458</v>
          </cell>
          <cell r="J7" t="str">
            <v>ΤΖΑΝΑΚΗΣ ΚΥΡΙΑΚΟΣ</v>
          </cell>
          <cell r="K7" t="str">
            <v>Ο.Α.ΧΑΝΙΩΝ</v>
          </cell>
        </row>
        <row r="8">
          <cell r="A8">
            <v>6</v>
          </cell>
          <cell r="B8">
            <v>9</v>
          </cell>
          <cell r="C8">
            <v>104</v>
          </cell>
          <cell r="D8">
            <v>90112</v>
          </cell>
          <cell r="E8" t="str">
            <v>ΝΤΙΝΤΟ ΑΛΕΞΑΝΔΡΟΣ</v>
          </cell>
          <cell r="F8" t="str">
            <v>Ο.Α.ΓΛΥΦΑΔΑΣ</v>
          </cell>
          <cell r="G8">
            <v>1</v>
          </cell>
          <cell r="H8">
            <v>27</v>
          </cell>
          <cell r="I8">
            <v>90115</v>
          </cell>
          <cell r="J8" t="str">
            <v>ΛΟΥΚΑΣ ΑΛΕΞΑΝΔΡΟΣ-ΠΑΝΑΓΙΩΤΗΣ</v>
          </cell>
          <cell r="K8" t="str">
            <v>Ο.Α.ΒΟΥΛΙΑΓΜΕΝΗΣ ΜΙΚΡΟΙ ΑΣΣΟΙ</v>
          </cell>
        </row>
        <row r="9">
          <cell r="A9">
            <v>7</v>
          </cell>
          <cell r="B9">
            <v>7</v>
          </cell>
          <cell r="C9">
            <v>41.2</v>
          </cell>
          <cell r="D9">
            <v>31953</v>
          </cell>
          <cell r="E9" t="str">
            <v>ΣΙΜΑΤΟΣ ΓΕΩΡΓΙΟΣ</v>
          </cell>
          <cell r="F9" t="str">
            <v>ΗΡΑΚΛΕΙΟ Ο.Α.&amp; Α.</v>
          </cell>
          <cell r="G9">
            <v>0</v>
          </cell>
          <cell r="H9">
            <v>6.2</v>
          </cell>
          <cell r="I9">
            <v>30911</v>
          </cell>
          <cell r="J9" t="str">
            <v>ΤΣΑΚΑΛΑΚΗΣ ΝΙΚΟΛΑΟΣ</v>
          </cell>
          <cell r="K9" t="str">
            <v>ΗΡΑΚΛΕΙΟ Ο.Α.&amp; Α.</v>
          </cell>
        </row>
        <row r="10">
          <cell r="A10">
            <v>8</v>
          </cell>
          <cell r="B10">
            <v>6</v>
          </cell>
          <cell r="C10">
            <v>36</v>
          </cell>
          <cell r="D10">
            <v>31791</v>
          </cell>
          <cell r="E10" t="str">
            <v>ΚΑΡΑΜΑΝΗΣ ΟΡΕΣΤΗΣ</v>
          </cell>
          <cell r="F10" t="str">
            <v>Α.Ο.Α.ΧΑΪΔΑΡΙΟΥ</v>
          </cell>
          <cell r="G10">
            <v>5</v>
          </cell>
          <cell r="H10">
            <v>20</v>
          </cell>
          <cell r="I10">
            <v>34511</v>
          </cell>
          <cell r="J10" t="str">
            <v>ΚΑΡΑΧΑΛΙΟΣ ΑΓΓΕΛΟΣ</v>
          </cell>
          <cell r="K10" t="str">
            <v>Ο.Α.ΣΟΥΔΑΣ</v>
          </cell>
        </row>
        <row r="11">
          <cell r="A11">
            <v>9</v>
          </cell>
          <cell r="B11">
            <v>5</v>
          </cell>
          <cell r="C11">
            <v>29</v>
          </cell>
          <cell r="D11">
            <v>30524</v>
          </cell>
          <cell r="E11" t="str">
            <v>ΜΑΤΣΑΜΑΚΗΣ ΑΝΤΩΝΙΟΣ</v>
          </cell>
          <cell r="F11" t="str">
            <v>Ο.Α.ΧΑΝΙΩΝ</v>
          </cell>
          <cell r="G11">
            <v>3</v>
          </cell>
          <cell r="H11">
            <v>14.5</v>
          </cell>
          <cell r="I11">
            <v>30535</v>
          </cell>
          <cell r="J11" t="str">
            <v>ΚΟΝΤΑΡΑΚΗΣ ΑΝΔΡΕΑΣ</v>
          </cell>
          <cell r="K11" t="str">
            <v>Ο.Α.ΧΑΝΙΩΝ</v>
          </cell>
        </row>
        <row r="12">
          <cell r="A12">
            <v>10</v>
          </cell>
          <cell r="B12">
            <v>4</v>
          </cell>
          <cell r="C12">
            <v>20.7</v>
          </cell>
          <cell r="D12">
            <v>30443</v>
          </cell>
          <cell r="E12" t="str">
            <v>ΤΣΙΑΛΟΣ ΛΕΩΝΙΔΑΣ</v>
          </cell>
          <cell r="F12" t="str">
            <v>Ο.Α.ΡΕΘΥΜΝΟΥ</v>
          </cell>
          <cell r="G12">
            <v>1</v>
          </cell>
          <cell r="H12">
            <v>8</v>
          </cell>
          <cell r="I12">
            <v>31167</v>
          </cell>
          <cell r="J12" t="str">
            <v>ΠΑΡΙΣΣΗΣ ΑΝΑΣΤΑΣΙΟΣ</v>
          </cell>
          <cell r="K12" t="str">
            <v>ΡΟΔΙΑΚΗ ΑΚΑΔ.ΑΝΤΙΣΦ.</v>
          </cell>
        </row>
        <row r="13">
          <cell r="A13">
            <v>11</v>
          </cell>
          <cell r="B13">
            <v>4</v>
          </cell>
          <cell r="C13">
            <v>20.2</v>
          </cell>
          <cell r="D13">
            <v>29658</v>
          </cell>
          <cell r="E13" t="str">
            <v>ΚΩΝΣΤΑΝΤΑΡΑΚΗΣ ΑΝΤΩΝΙΟΣ</v>
          </cell>
          <cell r="F13" t="str">
            <v>Ο.Α.ΧΑΝΙΩΝ</v>
          </cell>
          <cell r="G13">
            <v>2</v>
          </cell>
          <cell r="H13">
            <v>13.5</v>
          </cell>
          <cell r="I13">
            <v>30526</v>
          </cell>
          <cell r="J13" t="str">
            <v>ΧΑΤΖΗΝΙΚΟΛΑΟΥ ΔΙΟΝΥΣΙΟΣ-ΤΣΑΜΠΙΚΟΣ</v>
          </cell>
          <cell r="K13" t="str">
            <v>Ο.Α.ΧΑΝΙΩΝ</v>
          </cell>
        </row>
        <row r="14">
          <cell r="A14">
            <v>12</v>
          </cell>
          <cell r="B14">
            <v>3</v>
          </cell>
          <cell r="C14">
            <v>17</v>
          </cell>
          <cell r="D14">
            <v>30546</v>
          </cell>
          <cell r="E14" t="str">
            <v>ΤΣΑΓΛΙΩΤΗΣ ΑΝΤΩΝΗΣ</v>
          </cell>
          <cell r="F14" t="str">
            <v>Ο.Α.ΡΕΘΥΜΝΟΥ</v>
          </cell>
          <cell r="G14">
            <v>2</v>
          </cell>
          <cell r="H14">
            <v>9</v>
          </cell>
          <cell r="I14">
            <v>30710</v>
          </cell>
          <cell r="J14" t="str">
            <v>ΚΑΖΙΑΛΕΣ ΕΥΑΓΓΕΛΟΣ</v>
          </cell>
          <cell r="K14" t="str">
            <v>Ο.Α.ΡΕΘΥΜΝΟΥ</v>
          </cell>
        </row>
        <row r="15">
          <cell r="A15">
            <v>13</v>
          </cell>
          <cell r="B15">
            <v>0</v>
          </cell>
          <cell r="C15">
            <v>0</v>
          </cell>
          <cell r="E15" t="str">
            <v/>
          </cell>
          <cell r="F15" t="str">
            <v/>
          </cell>
          <cell r="G15">
            <v>0</v>
          </cell>
          <cell r="H15">
            <v>0</v>
          </cell>
          <cell r="J15" t="str">
            <v/>
          </cell>
          <cell r="K15" t="str">
            <v/>
          </cell>
        </row>
        <row r="16">
          <cell r="A16">
            <v>14</v>
          </cell>
          <cell r="B16">
            <v>0</v>
          </cell>
          <cell r="C16">
            <v>0</v>
          </cell>
          <cell r="E16" t="str">
            <v/>
          </cell>
          <cell r="F16" t="str">
            <v/>
          </cell>
          <cell r="G16">
            <v>0</v>
          </cell>
          <cell r="H16">
            <v>0</v>
          </cell>
          <cell r="J16" t="str">
            <v/>
          </cell>
          <cell r="K16" t="str">
            <v/>
          </cell>
        </row>
        <row r="17">
          <cell r="A17">
            <v>15</v>
          </cell>
          <cell r="B17">
            <v>0</v>
          </cell>
          <cell r="C17">
            <v>0</v>
          </cell>
          <cell r="E17" t="str">
            <v/>
          </cell>
          <cell r="F17" t="str">
            <v/>
          </cell>
          <cell r="G17">
            <v>0</v>
          </cell>
          <cell r="H17">
            <v>0</v>
          </cell>
          <cell r="J17" t="str">
            <v/>
          </cell>
          <cell r="K17" t="str">
            <v/>
          </cell>
        </row>
        <row r="18">
          <cell r="A18">
            <v>16</v>
          </cell>
          <cell r="B18">
            <v>0</v>
          </cell>
          <cell r="C18">
            <v>0</v>
          </cell>
          <cell r="E18" t="str">
            <v/>
          </cell>
          <cell r="F18" t="str">
            <v/>
          </cell>
          <cell r="G18">
            <v>0</v>
          </cell>
          <cell r="H18">
            <v>0</v>
          </cell>
          <cell r="J18" t="str">
            <v/>
          </cell>
          <cell r="K18" t="str">
            <v/>
          </cell>
        </row>
      </sheetData>
      <sheetData sheetId="7">
        <row r="28">
          <cell r="K28" t="str">
            <v>E1-12</v>
          </cell>
          <cell r="L28">
            <v>3</v>
          </cell>
          <cell r="M28">
            <v>4</v>
          </cell>
          <cell r="N28">
            <v>5</v>
          </cell>
          <cell r="O28">
            <v>9</v>
          </cell>
          <cell r="P28">
            <v>11</v>
          </cell>
        </row>
        <row r="29">
          <cell r="K29" t="str">
            <v>E1-14</v>
          </cell>
          <cell r="L29">
            <v>4</v>
          </cell>
          <cell r="M29">
            <v>5</v>
          </cell>
          <cell r="N29">
            <v>8</v>
          </cell>
          <cell r="O29">
            <v>13</v>
          </cell>
          <cell r="P29">
            <v>15</v>
          </cell>
        </row>
        <row r="30">
          <cell r="K30" t="str">
            <v>E1-16</v>
          </cell>
          <cell r="L30">
            <v>8</v>
          </cell>
          <cell r="M30">
            <v>10</v>
          </cell>
          <cell r="N30">
            <v>15</v>
          </cell>
          <cell r="O30">
            <v>25</v>
          </cell>
          <cell r="P30">
            <v>30</v>
          </cell>
        </row>
        <row r="31">
          <cell r="K31" t="str">
            <v>E1-18</v>
          </cell>
          <cell r="L31">
            <v>9</v>
          </cell>
          <cell r="M31">
            <v>12</v>
          </cell>
          <cell r="N31">
            <v>19</v>
          </cell>
          <cell r="O31">
            <v>31</v>
          </cell>
          <cell r="P31">
            <v>37</v>
          </cell>
        </row>
        <row r="32">
          <cell r="K32" t="str">
            <v>E2-12</v>
          </cell>
          <cell r="L32">
            <v>1</v>
          </cell>
          <cell r="M32">
            <v>2</v>
          </cell>
          <cell r="N32">
            <v>3</v>
          </cell>
          <cell r="O32">
            <v>4</v>
          </cell>
          <cell r="P32">
            <v>8</v>
          </cell>
        </row>
        <row r="33">
          <cell r="K33" t="str">
            <v>E2-14</v>
          </cell>
          <cell r="L33">
            <v>2</v>
          </cell>
          <cell r="M33">
            <v>3</v>
          </cell>
          <cell r="N33">
            <v>4</v>
          </cell>
          <cell r="O33">
            <v>6</v>
          </cell>
          <cell r="P33">
            <v>8</v>
          </cell>
        </row>
        <row r="34">
          <cell r="K34" t="str">
            <v>E2-16</v>
          </cell>
          <cell r="L34">
            <v>4</v>
          </cell>
          <cell r="M34">
            <v>6</v>
          </cell>
          <cell r="N34">
            <v>8</v>
          </cell>
          <cell r="O34">
            <v>12</v>
          </cell>
          <cell r="P34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7"/>
  <sheetViews>
    <sheetView showGridLines="0"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P23" sqref="P23"/>
    </sheetView>
  </sheetViews>
  <sheetFormatPr defaultColWidth="8.8515625" defaultRowHeight="12.75"/>
  <cols>
    <col min="1" max="1" width="2.421875" style="11" bestFit="1" customWidth="1"/>
    <col min="2" max="2" width="0" style="11" hidden="1" customWidth="1"/>
    <col min="3" max="3" width="0" style="12" hidden="1" customWidth="1"/>
    <col min="4" max="5" width="0" style="13" hidden="1" customWidth="1"/>
    <col min="6" max="6" width="3.421875" style="12" bestFit="1" customWidth="1"/>
    <col min="7" max="7" width="6.28125" style="14" customWidth="1"/>
    <col min="8" max="8" width="35.7109375" style="11" customWidth="1"/>
    <col min="9" max="9" width="11.7109375" style="11" hidden="1" customWidth="1"/>
    <col min="10" max="10" width="25.7109375" style="11" customWidth="1"/>
    <col min="11" max="11" width="1.421875" style="149" bestFit="1" customWidth="1"/>
    <col min="12" max="12" width="15.7109375" style="11" customWidth="1"/>
    <col min="13" max="13" width="1.421875" style="38" bestFit="1" customWidth="1"/>
    <col min="14" max="14" width="15.7109375" style="11" customWidth="1"/>
    <col min="15" max="15" width="1.421875" style="38" bestFit="1" customWidth="1"/>
    <col min="16" max="16" width="15.7109375" style="10" customWidth="1"/>
    <col min="17" max="17" width="8.8515625" style="10" customWidth="1"/>
    <col min="18" max="23" width="3.7109375" style="11" customWidth="1"/>
    <col min="24" max="24" width="6.28125" style="11" hidden="1" customWidth="1"/>
    <col min="25" max="25" width="11.7109375" style="11" hidden="1" customWidth="1"/>
    <col min="26" max="26" width="1.28515625" style="11" hidden="1" customWidth="1"/>
    <col min="27" max="29" width="6.28125" style="11" hidden="1" customWidth="1"/>
    <col min="30" max="16384" width="8.8515625" style="11" customWidth="1"/>
  </cols>
  <sheetData>
    <row r="1" spans="1:17" s="4" customFormat="1" ht="20.25">
      <c r="A1" s="171" t="str">
        <f>'[1]Setup'!B3&amp;", "&amp;'[1]Setup'!B4&amp;", "&amp;'[1]Setup'!B6&amp;", "&amp;'[1]Setup'!B8&amp;"-"&amp;'[1]Setup'!B9</f>
        <v>ΕΦΟΑ &amp; Γ', 3ο Ε2, ΗΡΑΚΛΕΙΟ Ο.Α., 16-20 Ιουνίου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"/>
      <c r="P1" s="2" t="str">
        <f>'[1]Setup'!$B$7</f>
        <v>Α12</v>
      </c>
      <c r="Q1" s="3"/>
    </row>
    <row r="2" spans="1:16" ht="11.25">
      <c r="A2" s="5"/>
      <c r="B2" s="6">
        <f>'[1]Setup'!$B$18</f>
        <v>4</v>
      </c>
      <c r="C2" s="6"/>
      <c r="D2" s="7"/>
      <c r="E2" s="7"/>
      <c r="F2" s="8"/>
      <c r="G2" s="8" t="str">
        <f>"p"&amp;VLOOKUP('[1]Setup'!$B$5,'[1]tmp'!$K$28:$P$34,2,FALSE)</f>
        <v>p1</v>
      </c>
      <c r="H2" s="9"/>
      <c r="I2" s="9"/>
      <c r="J2" s="9"/>
      <c r="K2" s="8"/>
      <c r="L2" s="8" t="str">
        <f>"p"&amp;VLOOKUP('[1]Setup'!$B$5,'[1]tmp'!$K$28:$P$34,3,FALSE)</f>
        <v>p2</v>
      </c>
      <c r="M2" s="9"/>
      <c r="N2" s="8" t="str">
        <f>"p"&amp;VLOOKUP('[1]Setup'!$B$5,'[1]tmp'!$K$28:$P$34,4,FALSE)</f>
        <v>p3</v>
      </c>
      <c r="O2" s="9"/>
      <c r="P2" s="8" t="str">
        <f>"p"&amp;VLOOKUP('[1]Setup'!$B$5,'[1]tmp'!$K$28:$P$34,5,FALSE)&amp;"-"&amp;VLOOKUP('[1]Setup'!$B$5,'[1]tmp'!$K$28:$P$34,6,FALSE)</f>
        <v>p4-8</v>
      </c>
    </row>
    <row r="3" spans="8:16" ht="12.75" customHeight="1">
      <c r="H3" s="172">
        <v>16</v>
      </c>
      <c r="I3" s="172"/>
      <c r="J3" s="172"/>
      <c r="K3" s="16"/>
      <c r="L3" s="15">
        <v>8</v>
      </c>
      <c r="M3" s="17"/>
      <c r="N3" s="15">
        <v>4</v>
      </c>
      <c r="O3" s="17"/>
      <c r="P3" s="18" t="s">
        <v>0</v>
      </c>
    </row>
    <row r="4" spans="1:26" s="12" customFormat="1" ht="11.25">
      <c r="A4" s="19" t="s">
        <v>1</v>
      </c>
      <c r="B4" s="20"/>
      <c r="C4" s="21" t="s">
        <v>2</v>
      </c>
      <c r="D4" s="21" t="s">
        <v>3</v>
      </c>
      <c r="E4" s="21" t="s">
        <v>4</v>
      </c>
      <c r="F4" s="19" t="s">
        <v>5</v>
      </c>
      <c r="G4" s="19" t="s">
        <v>6</v>
      </c>
      <c r="H4" s="22" t="s">
        <v>7</v>
      </c>
      <c r="I4" s="23" t="s">
        <v>8</v>
      </c>
      <c r="J4" s="22" t="s">
        <v>9</v>
      </c>
      <c r="K4" s="24"/>
      <c r="M4" s="25"/>
      <c r="O4" s="25"/>
      <c r="P4" s="26"/>
      <c r="Q4" s="26"/>
      <c r="Z4" s="12" t="s">
        <v>10</v>
      </c>
    </row>
    <row r="5" spans="1:29" ht="12.75" customHeight="1">
      <c r="A5" s="162">
        <v>1</v>
      </c>
      <c r="B5" s="27">
        <v>1</v>
      </c>
      <c r="C5" s="28"/>
      <c r="D5" s="29"/>
      <c r="E5" s="30">
        <v>0</v>
      </c>
      <c r="F5" s="164">
        <f>VLOOKUP($B5,'[1]Setup'!$G$12:$H$27,2,FALSE)</f>
        <v>1</v>
      </c>
      <c r="G5" s="31">
        <f>IF('[1]Setup'!$B$25="#",0,IF(F5&gt;0,VLOOKUP(F5,'[1]DrawPrep'!$A$3:$K$18,4,FALSE),0))</f>
        <v>28879</v>
      </c>
      <c r="H5" s="32" t="str">
        <f>IF(G5&gt;0,VLOOKUP(G5,'[1]DrawPrep'!$D$3:$K$18,2,FALSE),"bye")</f>
        <v>ΜΠΑΛΤΑΣ ΜΑΞΙΜΟΣ</v>
      </c>
      <c r="I5" s="33" t="str">
        <f aca="true" t="shared" si="0" ref="I5:I36">IF(NOT(G5&gt;0),"",IF(ISERROR(FIND("-",H5)),LEFT(H5,FIND(" ",H5)-1),IF(FIND("-",H5)&gt;FIND(" ",H5),LEFT(H5,FIND(" ",H5)-1),LEFT(H5,FIND("-",H5)-1))))</f>
        <v>ΜΠΑΛΤΑΣ</v>
      </c>
      <c r="J5" s="34" t="str">
        <f>IF($G5&gt;0,VLOOKUP($G5,'[1]DrawPrep'!$D$3:$I$18,3,FALSE),"")</f>
        <v>Α.Κ.Α.ΜΑΡΑΘΩΝΑ</v>
      </c>
      <c r="K5" s="11"/>
      <c r="L5" s="35" t="str">
        <f>UPPER(IF($A$2="R",IF(OR(K6=1,K6="a"),G5,IF(OR(K6=2,K6="b"),G7,"")),IF(OR(K6=1,K6="1"),I5,IF(OR(K6=2,K6="b"),I7,""))))</f>
        <v>ΜΠΑΛΤΑΣ</v>
      </c>
      <c r="M5" s="36"/>
      <c r="N5" s="37"/>
      <c r="P5" s="37"/>
      <c r="X5" s="39">
        <f aca="true" t="shared" si="1" ref="X5:X36">G5</f>
        <v>28879</v>
      </c>
      <c r="Y5" s="40" t="str">
        <f aca="true" t="shared" si="2" ref="Y5:Y36">H5</f>
        <v>ΜΠΑΛΤΑΣ ΜΑΞΙΜΟΣ</v>
      </c>
      <c r="Z5" s="41"/>
      <c r="AA5" s="10" t="str">
        <f>L5</f>
        <v>ΜΠΑΛΤΑΣ</v>
      </c>
      <c r="AB5" s="10"/>
      <c r="AC5" s="10"/>
    </row>
    <row r="6" spans="1:29" ht="12.75" customHeight="1">
      <c r="A6" s="163"/>
      <c r="B6" s="42"/>
      <c r="C6" s="43"/>
      <c r="D6" s="44"/>
      <c r="E6" s="45"/>
      <c r="F6" s="165"/>
      <c r="G6" s="46">
        <f>IF('[1]Setup'!$B$25="#",0,IF(F5&gt;0,VLOOKUP(F5,'[1]DrawPrep'!$A$3:$K$18,9,FALSE),0))</f>
        <v>29399</v>
      </c>
      <c r="H6" s="47" t="str">
        <f>IF(G6&gt;0,VLOOKUP(G6,'[1]DrawPrep'!$I$3:$K$18,2,FALSE)," ")</f>
        <v>ΑΡΒΑΝΙΤΗΣ ΑΛΕΞΑΝΔΡΟΣ</v>
      </c>
      <c r="I6" s="48" t="str">
        <f t="shared" si="0"/>
        <v>ΑΡΒΑΝΙΤΗΣ</v>
      </c>
      <c r="J6" s="49" t="str">
        <f>IF($G6&gt;0,VLOOKUP($G6,'[1]DrawPrep'!$I$3:$K$18,3,FALSE),"")</f>
        <v>Α.Κ.Α.ΜΑΡΑΘΩΝΑ</v>
      </c>
      <c r="K6" s="50">
        <v>1</v>
      </c>
      <c r="L6" s="35" t="str">
        <f>UPPER(IF($A$2="R",IF(OR(K6=1,K6="a"),G6,IF(OR(K6=2,K6="b"),G8,"")),IF(OR(K6=1,K6="1"),I6,IF(OR(K6=2,K6="b"),I8,""))))</f>
        <v>ΑΡΒΑΝΙΤΗΣ</v>
      </c>
      <c r="M6" s="36"/>
      <c r="N6" s="37"/>
      <c r="P6" s="37"/>
      <c r="X6" s="26">
        <f t="shared" si="1"/>
        <v>29399</v>
      </c>
      <c r="Y6" s="10" t="str">
        <f t="shared" si="2"/>
        <v>ΑΡΒΑΝΙΤΗΣ ΑΛΕΞΑΝΔΡΟΣ</v>
      </c>
      <c r="Z6" s="51"/>
      <c r="AA6" s="52" t="str">
        <f>L6</f>
        <v>ΑΡΒΑΝΙΤΗΣ</v>
      </c>
      <c r="AB6" s="10"/>
      <c r="AC6" s="10"/>
    </row>
    <row r="7" spans="1:29" ht="12.75" customHeight="1">
      <c r="A7" s="166">
        <v>2</v>
      </c>
      <c r="B7" s="53">
        <f>1-D7+4</f>
        <v>4</v>
      </c>
      <c r="C7" s="54">
        <v>1</v>
      </c>
      <c r="D7" s="55">
        <f>E7</f>
        <v>1</v>
      </c>
      <c r="E7" s="56">
        <f>IF($B$2&gt;=C7,1,0)</f>
        <v>1</v>
      </c>
      <c r="F7" s="166" t="str">
        <f>IF($B$2&gt;=C7,"-",VLOOKUP($B7,'[1]Setup'!$G$12:$H$27,2,FALSE))</f>
        <v>-</v>
      </c>
      <c r="G7" s="57">
        <f>IF('[1]Setup'!$B$25="#",0,IF(NOT(F7="-"),VLOOKUP(F7,'[1]DrawPrep'!$A$3:$K$18,4,FALSE),0))</f>
        <v>0</v>
      </c>
      <c r="H7" s="58" t="str">
        <f>IF(G7&gt;0,VLOOKUP(G7,'[1]DrawPrep'!$D$3:$I$18,2,FALSE),"bye")</f>
        <v>bye</v>
      </c>
      <c r="I7" s="59">
        <f t="shared" si="0"/>
      </c>
      <c r="J7" s="60">
        <f>IF($G7&gt;0,VLOOKUP($G7,'[1]DrawPrep'!$D$3:$I$18,3,FALSE),"")</f>
      </c>
      <c r="K7" s="24"/>
      <c r="L7" s="61"/>
      <c r="M7" s="11"/>
      <c r="N7" s="35" t="str">
        <f>UPPER(IF($A$2="R",IF(OR(M8=1,M8="a"),L5,IF(OR(M8=2,M7="b"),L9,"")),IF(OR(M8=1,M8="a"),L5,IF(OR(M8=2,M8="b"),L9,""))))</f>
        <v>ΜΠΑΛΤΑΣ</v>
      </c>
      <c r="O7" s="36"/>
      <c r="P7" s="37"/>
      <c r="X7" s="26">
        <f t="shared" si="1"/>
        <v>0</v>
      </c>
      <c r="Y7" s="10" t="str">
        <f t="shared" si="2"/>
        <v>bye</v>
      </c>
      <c r="Z7" s="51"/>
      <c r="AA7" s="62">
        <f>L7</f>
        <v>0</v>
      </c>
      <c r="AB7" s="10" t="str">
        <f>N7</f>
        <v>ΜΠΑΛΤΑΣ</v>
      </c>
      <c r="AC7" s="10"/>
    </row>
    <row r="8" spans="1:29" ht="12.75" customHeight="1">
      <c r="A8" s="167"/>
      <c r="B8" s="63"/>
      <c r="C8" s="64"/>
      <c r="D8" s="65"/>
      <c r="E8" s="66"/>
      <c r="F8" s="167"/>
      <c r="G8" s="67">
        <f>IF('[1]Setup'!$B$25="#",0,IF(NOT(F7="-"),VLOOKUP(F7,'[1]DrawPrep'!$A$3:$K$18,9,FALSE),0))</f>
        <v>0</v>
      </c>
      <c r="H8" s="68" t="str">
        <f>IF(G8&gt;0,VLOOKUP(G8,'[1]DrawPrep'!$I$3:$K$18,2,FALSE)," ")</f>
        <v> </v>
      </c>
      <c r="I8" s="69">
        <f t="shared" si="0"/>
      </c>
      <c r="J8" s="70">
        <f>IF($G8&gt;0,VLOOKUP($G8,'[1]DrawPrep'!$I$3:$K$18,3,FALSE),"")</f>
      </c>
      <c r="K8" s="24"/>
      <c r="L8" s="71"/>
      <c r="M8" s="72">
        <v>1</v>
      </c>
      <c r="N8" s="35" t="str">
        <f>UPPER(IF($A$2="R",IF(OR(M8=1,M8="a"),L6,IF(OR(M8=2,M8="b"),L10,"")),IF(OR(M8=1,M8="a"),L6,IF(OR(M8=2,M8="b"),L10,""))))</f>
        <v>ΑΡΒΑΝΙΤΗΣ</v>
      </c>
      <c r="O8" s="36"/>
      <c r="P8" s="37"/>
      <c r="X8" s="73">
        <f t="shared" si="1"/>
        <v>0</v>
      </c>
      <c r="Y8" s="52" t="str">
        <f t="shared" si="2"/>
        <v> </v>
      </c>
      <c r="Z8" s="51"/>
      <c r="AA8" s="74"/>
      <c r="AB8" s="10" t="str">
        <f>N8</f>
        <v>ΑΡΒΑΝΙΤΗΣ</v>
      </c>
      <c r="AC8" s="10"/>
    </row>
    <row r="9" spans="1:29" ht="12.75" customHeight="1">
      <c r="A9" s="158">
        <v>3</v>
      </c>
      <c r="B9" s="75">
        <f>2-D9+4</f>
        <v>5</v>
      </c>
      <c r="C9" s="76"/>
      <c r="D9" s="77">
        <f>D7+E9</f>
        <v>1</v>
      </c>
      <c r="E9" s="78">
        <v>0</v>
      </c>
      <c r="F9" s="158">
        <f>VLOOKUP($B9,'[1]Setup'!$G$12:$H$27,2,FALSE)</f>
        <v>11</v>
      </c>
      <c r="G9" s="79">
        <f>IF('[1]Setup'!$B$25="#",0,IF(F9&gt;0,VLOOKUP(F9,'[1]DrawPrep'!$A$3:$K$18,4,FALSE),0))</f>
        <v>29658</v>
      </c>
      <c r="H9" s="80" t="str">
        <f>IF(G9&gt;0,VLOOKUP(G9,'[1]DrawPrep'!$D$3:$I$18,2,FALSE),"bye")</f>
        <v>ΚΩΝΣΤΑΝΤΑΡΑΚΗΣ ΑΝΤΩΝΙΟΣ</v>
      </c>
      <c r="I9" s="81" t="str">
        <f t="shared" si="0"/>
        <v>ΚΩΝΣΤΑΝΤΑΡΑΚΗΣ</v>
      </c>
      <c r="J9" s="82" t="str">
        <f>IF($G9&gt;0,VLOOKUP($G9,'[1]DrawPrep'!$D$3:$I$18,3,FALSE),"")</f>
        <v>Ο.Α.ΧΑΝΙΩΝ</v>
      </c>
      <c r="K9" s="11"/>
      <c r="L9" s="35" t="str">
        <f>UPPER(IF($A$2="R",IF(OR(K10=1,K10="a"),G9,IF(OR(K10=2,K10="b"),G11,"")),IF(OR(K10=1,K10="1"),I9,IF(OR(K10=2,K10="b"),I11,""))))</f>
        <v>ΚΩΝΣΤΑΝΤΑΡΑΚΗΣ</v>
      </c>
      <c r="M9" s="83"/>
      <c r="N9" s="61" t="s">
        <v>11</v>
      </c>
      <c r="O9" s="36"/>
      <c r="P9" s="37"/>
      <c r="X9" s="39">
        <f t="shared" si="1"/>
        <v>29658</v>
      </c>
      <c r="Y9" s="40" t="str">
        <f t="shared" si="2"/>
        <v>ΚΩΝΣΤΑΝΤΑΡΑΚΗΣ ΑΝΤΩΝΙΟΣ</v>
      </c>
      <c r="Z9" s="41"/>
      <c r="AA9" s="74" t="str">
        <f>L9</f>
        <v>ΚΩΝΣΤΑΝΤΑΡΑΚΗΣ</v>
      </c>
      <c r="AB9" s="41" t="str">
        <f>N9</f>
        <v>62 64</v>
      </c>
      <c r="AC9" s="10"/>
    </row>
    <row r="10" spans="1:29" ht="12.75" customHeight="1">
      <c r="A10" s="159"/>
      <c r="B10" s="84"/>
      <c r="C10" s="85"/>
      <c r="D10" s="86"/>
      <c r="E10" s="87"/>
      <c r="F10" s="159"/>
      <c r="G10" s="88">
        <f>IF('[1]Setup'!$B$25="#",0,IF(F9&gt;0,VLOOKUP(F9,'[1]DrawPrep'!$A$3:$K$18,9,FALSE),0))</f>
        <v>30526</v>
      </c>
      <c r="H10" s="89" t="str">
        <f>IF(G10&gt;0,VLOOKUP(G10,'[1]DrawPrep'!$I$3:$K$18,2,FALSE)," ")</f>
        <v>ΧΑΤΖΗΝΙΚΟΛΑΟΥ ΔΙΟΝΥΣΙΟΣ-ΤΣΑΜΠΙΚΟΣ</v>
      </c>
      <c r="I10" s="90" t="str">
        <f t="shared" si="0"/>
        <v>ΧΑΤΖΗΝΙΚΟΛΑΟΥ</v>
      </c>
      <c r="J10" s="91" t="str">
        <f>IF($G10&gt;0,VLOOKUP($G10,'[1]DrawPrep'!$I$3:$K$18,3,FALSE),"")</f>
        <v>Ο.Α.ΧΑΝΙΩΝ</v>
      </c>
      <c r="K10" s="50">
        <v>2</v>
      </c>
      <c r="L10" s="35" t="str">
        <f>UPPER(IF($A$2="R",IF(OR(K10=1,K10="a"),G10,IF(OR(K10=2,K10="b"),G12,"")),IF(OR(K10=1,K10="1"),I10,IF(OR(K10=2,K10="b"),I12,""))))</f>
        <v>ΤΖΑΝΑΚΗΣ</v>
      </c>
      <c r="M10" s="83"/>
      <c r="N10" s="71"/>
      <c r="O10" s="36"/>
      <c r="P10" s="37"/>
      <c r="X10" s="26">
        <f t="shared" si="1"/>
        <v>30526</v>
      </c>
      <c r="Y10" s="10" t="str">
        <f t="shared" si="2"/>
        <v>ΧΑΤΖΗΝΙΚΟΛΑΟΥ ΔΙΟΝΥΣΙΟΣ-ΤΣΑΜΠΙΚΟΣ</v>
      </c>
      <c r="Z10" s="51"/>
      <c r="AA10" s="92" t="str">
        <f>L10</f>
        <v>ΤΖΑΝΑΚΗΣ</v>
      </c>
      <c r="AB10" s="51"/>
      <c r="AC10" s="10"/>
    </row>
    <row r="11" spans="1:29" ht="12.75" customHeight="1">
      <c r="A11" s="160">
        <v>4</v>
      </c>
      <c r="B11" s="53">
        <f>3-D11+4</f>
        <v>6</v>
      </c>
      <c r="C11" s="54">
        <v>7</v>
      </c>
      <c r="D11" s="55">
        <f>D9+E11</f>
        <v>1</v>
      </c>
      <c r="E11" s="56">
        <f>IF($B$2&gt;=C11,1,0)</f>
        <v>0</v>
      </c>
      <c r="F11" s="160">
        <f>IF($B$2&gt;=C11,"-",VLOOKUP($B11,'[1]Setup'!$G$12:$H$27,2,FALSE))</f>
        <v>5</v>
      </c>
      <c r="G11" s="93">
        <f>IF('[1]Setup'!$B$25="#",0,IF(NOT(F11="-"),VLOOKUP(F11,'[1]DrawPrep'!$A$3:$K$18,4,FALSE),0))</f>
        <v>30531</v>
      </c>
      <c r="H11" s="94" t="str">
        <f>IF(G11&gt;0,VLOOKUP(G11,'[1]DrawPrep'!$D$3:$I$18,2,FALSE),"bye")</f>
        <v>ΚΩΝΣΤΑΝΤΑΡΑΚΗΣ ΑΝΔΡΕΑΣ</v>
      </c>
      <c r="I11" s="95" t="str">
        <f t="shared" si="0"/>
        <v>ΚΩΝΣΤΑΝΤΑΡΑΚΗΣ</v>
      </c>
      <c r="J11" s="96" t="str">
        <f>IF($G11&gt;0,VLOOKUP($G11,'[1]DrawPrep'!$D$3:$I$18,3,FALSE),"")</f>
        <v>Ο.Α.ΧΑΝΙΩΝ</v>
      </c>
      <c r="K11" s="24"/>
      <c r="L11" s="97" t="s">
        <v>12</v>
      </c>
      <c r="M11" s="36"/>
      <c r="N11" s="71"/>
      <c r="O11" s="11"/>
      <c r="P11" s="57" t="str">
        <f>UPPER(IF($A$2="R",IF(OR(O12=1,O12="a"),N7,IF(OR(O12=2,O12="b"),N15,"")),IF(OR(O12=1,O12="a"),N7,IF(OR(O12=2,O12="b"),N15,""))))</f>
        <v>ΝΤΙΝΤΟ</v>
      </c>
      <c r="X11" s="26">
        <f t="shared" si="1"/>
        <v>30531</v>
      </c>
      <c r="Y11" s="10" t="str">
        <f t="shared" si="2"/>
        <v>ΚΩΝΣΤΑΝΤΑΡΑΚΗΣ ΑΝΔΡΕΑΣ</v>
      </c>
      <c r="Z11" s="51"/>
      <c r="AA11" s="10" t="str">
        <f>L11</f>
        <v>60 64</v>
      </c>
      <c r="AB11" s="51"/>
      <c r="AC11" s="10" t="str">
        <f>P11</f>
        <v>ΝΤΙΝΤΟ</v>
      </c>
    </row>
    <row r="12" spans="1:29" ht="12.75" customHeight="1">
      <c r="A12" s="161"/>
      <c r="B12" s="63"/>
      <c r="C12" s="64"/>
      <c r="D12" s="65"/>
      <c r="E12" s="66"/>
      <c r="F12" s="161"/>
      <c r="G12" s="98">
        <f>IF('[1]Setup'!$B$25="#",0,IF(NOT(F11="-"),VLOOKUP(F11,'[1]DrawPrep'!$A$3:$K$18,9,FALSE),0))</f>
        <v>26458</v>
      </c>
      <c r="H12" s="99" t="str">
        <f>IF(G12&gt;0,VLOOKUP(G12,'[1]DrawPrep'!$I$3:$K$18,2,FALSE)," ")</f>
        <v>ΤΖΑΝΑΚΗΣ ΚΥΡΙΑΚΟΣ</v>
      </c>
      <c r="I12" s="100" t="str">
        <f t="shared" si="0"/>
        <v>ΤΖΑΝΑΚΗΣ</v>
      </c>
      <c r="J12" s="101" t="str">
        <f>IF($G12&gt;0,VLOOKUP($G12,'[1]DrawPrep'!$I$3:$K$18,3,FALSE),"")</f>
        <v>Ο.Α.ΧΑΝΙΩΝ</v>
      </c>
      <c r="K12" s="24"/>
      <c r="L12" s="13"/>
      <c r="M12" s="36"/>
      <c r="N12" s="71"/>
      <c r="O12" s="50">
        <v>2</v>
      </c>
      <c r="P12" s="57" t="str">
        <f>UPPER(IF($A$2="R",IF(OR(O12=1,O12="a"),N8,IF(OR(O12=2,O12="b"),N16,"")),IF(OR(O12=1,O12="a"),N8,IF(OR(O12=2,O12="b"),N16,""))))</f>
        <v>ΛΟΥΚΑΣ</v>
      </c>
      <c r="X12" s="73">
        <f t="shared" si="1"/>
        <v>26458</v>
      </c>
      <c r="Y12" s="52" t="str">
        <f t="shared" si="2"/>
        <v>ΤΖΑΝΑΚΗΣ ΚΥΡΙΑΚΟΣ</v>
      </c>
      <c r="Z12" s="51"/>
      <c r="AA12" s="10"/>
      <c r="AB12" s="51"/>
      <c r="AC12" s="10" t="str">
        <f>P12</f>
        <v>ΛΟΥΚΑΣ</v>
      </c>
    </row>
    <row r="13" spans="1:29" ht="12.75" customHeight="1">
      <c r="A13" s="162">
        <v>5</v>
      </c>
      <c r="B13" s="75">
        <f>4-D13+4</f>
        <v>7</v>
      </c>
      <c r="C13" s="76"/>
      <c r="D13" s="77">
        <f>D11+E13</f>
        <v>1</v>
      </c>
      <c r="E13" s="78">
        <v>0</v>
      </c>
      <c r="F13" s="162">
        <f>VLOOKUP($B13,'[1]Setup'!$G$12:$H$27,2,FALSE)</f>
        <v>10</v>
      </c>
      <c r="G13" s="102">
        <f>IF('[1]Setup'!$B$25="#",0,IF(F13&gt;0,VLOOKUP(F13,'[1]DrawPrep'!$A$3:$K$18,4,FALSE),0))</f>
        <v>30443</v>
      </c>
      <c r="H13" s="103" t="str">
        <f>IF(G13&gt;0,VLOOKUP(G13,'[1]DrawPrep'!$D$3:$I$18,2,FALSE),"bye")</f>
        <v>ΤΣΙΑΛΟΣ ΛΕΩΝΙΔΑΣ</v>
      </c>
      <c r="I13" s="33" t="str">
        <f t="shared" si="0"/>
        <v>ΤΣΙΑΛΟΣ</v>
      </c>
      <c r="J13" s="104" t="str">
        <f>IF($G13&gt;0,VLOOKUP($G13,'[1]DrawPrep'!$D$3:$I$18,3,FALSE),"")</f>
        <v>Ο.Α.ΡΕΘΥΜΝΟΥ</v>
      </c>
      <c r="K13" s="11"/>
      <c r="L13" s="35" t="str">
        <f>UPPER(IF($A$2="R",IF(OR(K14=1,K14="a"),G13,IF(OR(K14=2,K14="b"),G15,"")),IF(OR(K14=1,K14="1"),I13,IF(OR(K14=2,K14="b"),I15,""))))</f>
        <v>ΝΤΙΝΤΟ</v>
      </c>
      <c r="M13" s="36"/>
      <c r="N13" s="71"/>
      <c r="O13" s="24"/>
      <c r="P13" s="105" t="s">
        <v>13</v>
      </c>
      <c r="X13" s="39">
        <f t="shared" si="1"/>
        <v>30443</v>
      </c>
      <c r="Y13" s="40" t="str">
        <f t="shared" si="2"/>
        <v>ΤΣΙΑΛΟΣ ΛΕΩΝΙΔΑΣ</v>
      </c>
      <c r="Z13" s="41"/>
      <c r="AA13" s="10" t="str">
        <f>L13</f>
        <v>ΝΤΙΝΤΟ</v>
      </c>
      <c r="AB13" s="51"/>
      <c r="AC13" s="62" t="str">
        <f>P13</f>
        <v>64 62</v>
      </c>
    </row>
    <row r="14" spans="1:29" ht="12.75" customHeight="1">
      <c r="A14" s="163"/>
      <c r="B14" s="84"/>
      <c r="C14" s="85"/>
      <c r="D14" s="86"/>
      <c r="E14" s="87"/>
      <c r="F14" s="163"/>
      <c r="G14" s="106">
        <f>IF('[1]Setup'!$B$25="#",0,IF(F13&gt;0,VLOOKUP(F13,'[1]DrawPrep'!$A$3:$K$18,9,FALSE),0))</f>
        <v>31167</v>
      </c>
      <c r="H14" s="107" t="str">
        <f>IF(G14&gt;0,VLOOKUP(G14,'[1]DrawPrep'!$I$3:$K$18,2,FALSE)," ")</f>
        <v>ΠΑΡΙΣΣΗΣ ΑΝΑΣΤΑΣΙΟΣ</v>
      </c>
      <c r="I14" s="48" t="str">
        <f t="shared" si="0"/>
        <v>ΠΑΡΙΣΣΗΣ</v>
      </c>
      <c r="J14" s="108" t="str">
        <f>IF($G14&gt;0,VLOOKUP($G14,'[1]DrawPrep'!$I$3:$K$18,3,FALSE),"")</f>
        <v>ΡΟΔΙΑΚΗ ΑΚΑΔ.ΑΝΤΙΣΦ.</v>
      </c>
      <c r="K14" s="109">
        <v>2</v>
      </c>
      <c r="L14" s="35" t="str">
        <f>UPPER(IF($A$2="R",IF(OR(K14=1,K14="a"),G14,IF(OR(K14=2,K14="b"),G16,"")),IF(OR(K14=1,K14="1"),I14,IF(OR(K14=2,K14="b"),I16,""))))</f>
        <v>ΛΟΥΚΑΣ</v>
      </c>
      <c r="M14" s="36"/>
      <c r="N14" s="71"/>
      <c r="O14" s="36"/>
      <c r="P14" s="110"/>
      <c r="X14" s="26">
        <f t="shared" si="1"/>
        <v>31167</v>
      </c>
      <c r="Y14" s="10" t="str">
        <f t="shared" si="2"/>
        <v>ΠΑΡΙΣΣΗΣ ΑΝΑΣΤΑΣΙΟΣ</v>
      </c>
      <c r="Z14" s="51"/>
      <c r="AA14" s="10" t="str">
        <f>L14</f>
        <v>ΛΟΥΚΑΣ</v>
      </c>
      <c r="AB14" s="51"/>
      <c r="AC14" s="51"/>
    </row>
    <row r="15" spans="1:29" ht="12.75" customHeight="1">
      <c r="A15" s="166">
        <v>6</v>
      </c>
      <c r="B15" s="53">
        <f>5-D15+4</f>
        <v>8</v>
      </c>
      <c r="C15" s="54">
        <v>5</v>
      </c>
      <c r="D15" s="55">
        <f>D13+E15</f>
        <v>1</v>
      </c>
      <c r="E15" s="56">
        <f>IF($B$2&gt;=C15,1,0)</f>
        <v>0</v>
      </c>
      <c r="F15" s="166">
        <f>IF($B$2&gt;=C15,"-",VLOOKUP($B15,'[1]Setup'!$G$12:$H$27,2,FALSE))</f>
        <v>6</v>
      </c>
      <c r="G15" s="57">
        <f>IF('[1]Setup'!$B$25="#",0,IF(NOT(F15="-"),VLOOKUP(F15,'[1]DrawPrep'!$A$3:$K$18,4,FALSE),0))</f>
        <v>90112</v>
      </c>
      <c r="H15" s="58" t="str">
        <f>IF(G15&gt;0,VLOOKUP(G15,'[1]DrawPrep'!$D$3:$I$18,2,FALSE),"bye")</f>
        <v>ΝΤΙΝΤΟ ΑΛΕΞΑΝΔΡΟΣ</v>
      </c>
      <c r="I15" s="59" t="str">
        <f t="shared" si="0"/>
        <v>ΝΤΙΝΤΟ</v>
      </c>
      <c r="J15" s="60" t="str">
        <f>IF($G15&gt;0,VLOOKUP($G15,'[1]DrawPrep'!$D$3:$I$18,3,FALSE),"")</f>
        <v>Ο.Α.ΓΛΥΦΑΔΑΣ</v>
      </c>
      <c r="K15" s="111"/>
      <c r="L15" s="61" t="s">
        <v>14</v>
      </c>
      <c r="M15" s="11"/>
      <c r="N15" s="35" t="str">
        <f>UPPER(IF($A$2="R",IF(OR(M16=1,M16="a"),L13,IF(OR(M16=2,M15="b"),L17,"")),IF(OR(M16=1,M16="a"),L13,IF(OR(M16=2,M16="b"),L17,""))))</f>
        <v>ΝΤΙΝΤΟ</v>
      </c>
      <c r="O15" s="112"/>
      <c r="P15" s="110"/>
      <c r="X15" s="26">
        <f t="shared" si="1"/>
        <v>90112</v>
      </c>
      <c r="Y15" s="10" t="str">
        <f t="shared" si="2"/>
        <v>ΝΤΙΝΤΟ ΑΛΕΞΑΝΔΡΟΣ</v>
      </c>
      <c r="Z15" s="51"/>
      <c r="AA15" s="62" t="str">
        <f>L15</f>
        <v>61 60</v>
      </c>
      <c r="AB15" s="51" t="str">
        <f>N15</f>
        <v>ΝΤΙΝΤΟ</v>
      </c>
      <c r="AC15" s="51"/>
    </row>
    <row r="16" spans="1:29" ht="12.75" customHeight="1">
      <c r="A16" s="167"/>
      <c r="B16" s="63"/>
      <c r="C16" s="64"/>
      <c r="D16" s="65"/>
      <c r="E16" s="66"/>
      <c r="F16" s="167"/>
      <c r="G16" s="67">
        <f>IF('[1]Setup'!$B$25="#",0,IF(NOT(F15="-"),VLOOKUP(F15,'[1]DrawPrep'!$A$3:$K$18,9,FALSE),0))</f>
        <v>90115</v>
      </c>
      <c r="H16" s="68" t="str">
        <f>IF(G16&gt;0,VLOOKUP(G16,'[1]DrawPrep'!$I$3:$K$18,2,FALSE)," ")</f>
        <v>ΛΟΥΚΑΣ ΑΛΕΞΑΝΔΡΟΣ-ΠΑΝΑΓΙΩΤΗΣ</v>
      </c>
      <c r="I16" s="69" t="str">
        <f t="shared" si="0"/>
        <v>ΛΟΥΚΑΣ</v>
      </c>
      <c r="J16" s="70" t="str">
        <f>IF($G16&gt;0,VLOOKUP($G16,'[1]DrawPrep'!$I$3:$K$18,3,FALSE),"")</f>
        <v>Ο.Α.ΒΟΥΛΙΑΓΜΕΝΗΣ ΜΙΚΡΟΙ ΑΣΣΟΙ</v>
      </c>
      <c r="K16" s="24"/>
      <c r="L16" s="71"/>
      <c r="M16" s="50">
        <v>1</v>
      </c>
      <c r="N16" s="35" t="str">
        <f>UPPER(IF($A$2="R",IF(OR(M16=1,M16="a"),L14,IF(OR(M16=2,M16="b"),L18,"")),IF(OR(M16=1,M16="a"),L14,IF(OR(M16=2,M16="b"),L18,""))))</f>
        <v>ΛΟΥΚΑΣ</v>
      </c>
      <c r="O16" s="112"/>
      <c r="P16" s="110"/>
      <c r="X16" s="73">
        <f t="shared" si="1"/>
        <v>90115</v>
      </c>
      <c r="Y16" s="52" t="str">
        <f t="shared" si="2"/>
        <v>ΛΟΥΚΑΣ ΑΛΕΞΑΝΔΡΟΣ-ΠΑΝΑΓΙΩΤΗΣ</v>
      </c>
      <c r="Z16" s="51"/>
      <c r="AA16" s="74"/>
      <c r="AB16" s="113" t="str">
        <f>N16</f>
        <v>ΛΟΥΚΑΣ</v>
      </c>
      <c r="AC16" s="51"/>
    </row>
    <row r="17" spans="1:29" ht="12.75" customHeight="1">
      <c r="A17" s="158">
        <v>7</v>
      </c>
      <c r="B17" s="75">
        <f>6-D17+4</f>
        <v>8</v>
      </c>
      <c r="C17" s="114">
        <f>VALUE('[1]Setup'!E2)</f>
        <v>4</v>
      </c>
      <c r="D17" s="77">
        <f>D15+E17</f>
        <v>2</v>
      </c>
      <c r="E17" s="115">
        <f>IF($B$2&gt;=C17,1,0)</f>
        <v>1</v>
      </c>
      <c r="F17" s="158" t="str">
        <f>IF($B$2&gt;=C17,"-",VLOOKUP($B17,'[1]Setup'!$G$12:$H$27,2,FALSE))</f>
        <v>-</v>
      </c>
      <c r="G17" s="79">
        <f>IF('[1]Setup'!$B$25="#",0,IF(NOT(F17="-"),VLOOKUP(F17,'[1]DrawPrep'!$A$3:$K$18,4,FALSE),0))</f>
        <v>0</v>
      </c>
      <c r="H17" s="80" t="str">
        <f>IF(G17&gt;0,VLOOKUP(G17,'[1]DrawPrep'!$D$3:$I$18,2,FALSE),"bye")</f>
        <v>bye</v>
      </c>
      <c r="I17" s="81">
        <f t="shared" si="0"/>
      </c>
      <c r="J17" s="82">
        <f>IF($G17&gt;0,VLOOKUP($G17,'[1]DrawPrep'!$D$3:$I$18,3,FALSE),"")</f>
      </c>
      <c r="K17" s="11"/>
      <c r="L17" s="35" t="str">
        <f>UPPER(IF($A$2="R",IF(OR(K18=1,K18="a"),G17,IF(OR(K18=2,K18="b"),G19,"")),IF(OR(K18=1,K18="1"),I17,IF(OR(K18=2,K18="b"),I19,""))))</f>
        <v>ΓΚΙΘΚΟΠΟΥΛΟΣ</v>
      </c>
      <c r="M17" s="83"/>
      <c r="N17" s="97" t="s">
        <v>15</v>
      </c>
      <c r="O17" s="36"/>
      <c r="P17" s="110"/>
      <c r="X17" s="39">
        <f t="shared" si="1"/>
        <v>0</v>
      </c>
      <c r="Y17" s="40" t="str">
        <f t="shared" si="2"/>
        <v>bye</v>
      </c>
      <c r="Z17" s="41"/>
      <c r="AA17" s="74" t="str">
        <f>L17</f>
        <v>ΓΚΙΘΚΟΠΟΥΛΟΣ</v>
      </c>
      <c r="AB17" s="116" t="str">
        <f>N17</f>
        <v>26 63 (7) </v>
      </c>
      <c r="AC17" s="51"/>
    </row>
    <row r="18" spans="1:29" ht="12.75" customHeight="1">
      <c r="A18" s="159"/>
      <c r="B18" s="84"/>
      <c r="C18" s="117"/>
      <c r="D18" s="86"/>
      <c r="E18" s="118"/>
      <c r="F18" s="159"/>
      <c r="G18" s="88">
        <f>IF('[1]Setup'!$B$25="#",0,IF(NOT(F17="-"),VLOOKUP(F17,'[1]DrawPrep'!$A$3:$K$18,9,FALSE),0))</f>
        <v>0</v>
      </c>
      <c r="H18" s="89" t="str">
        <f>IF(G18&gt;0,VLOOKUP(G18,'[1]DrawPrep'!$I$3:$K$18,2,FALSE)," ")</f>
        <v> </v>
      </c>
      <c r="I18" s="90">
        <f t="shared" si="0"/>
      </c>
      <c r="J18" s="91">
        <f>IF($G18&gt;0,VLOOKUP($G18,'[1]DrawPrep'!$I$3:$K$18,3,FALSE),"")</f>
      </c>
      <c r="K18" s="50">
        <v>2</v>
      </c>
      <c r="L18" s="70" t="str">
        <f>UPPER(IF($A$2="R",IF(OR(K18=1,K18="a"),G18,IF(OR(K18=2,K18="b"),G20,"")),IF(OR(K18=1,K18="1"),I18,IF(OR(K18=2,K18="b"),I20,""))))</f>
        <v>ΡΑΠΤΗΣ</v>
      </c>
      <c r="M18" s="24"/>
      <c r="N18" s="37"/>
      <c r="O18" s="36"/>
      <c r="P18" s="119" t="s">
        <v>16</v>
      </c>
      <c r="X18" s="26">
        <f t="shared" si="1"/>
        <v>0</v>
      </c>
      <c r="Y18" s="10" t="str">
        <f t="shared" si="2"/>
        <v> </v>
      </c>
      <c r="Z18" s="51"/>
      <c r="AA18" s="92" t="str">
        <f>L18</f>
        <v>ΡΑΠΤΗΣ</v>
      </c>
      <c r="AB18" s="10"/>
      <c r="AC18" s="51"/>
    </row>
    <row r="19" spans="1:29" ht="12.75" customHeight="1">
      <c r="A19" s="160">
        <v>8</v>
      </c>
      <c r="B19" s="120">
        <f>VALUE('[1]Setup'!E2)</f>
        <v>4</v>
      </c>
      <c r="C19" s="121"/>
      <c r="D19" s="55">
        <f>D17+E19</f>
        <v>2</v>
      </c>
      <c r="E19" s="122">
        <v>0</v>
      </c>
      <c r="F19" s="168">
        <f>VLOOKUP($B19,'[1]Setup'!$G$12:$H$27,2,FALSE)</f>
        <v>4</v>
      </c>
      <c r="G19" s="123">
        <f>IF('[1]Setup'!$B$25="#",0,IF(F19&gt;0,VLOOKUP(F19,'[1]DrawPrep'!$A$3:$K$18,4,FALSE),0))</f>
        <v>30989</v>
      </c>
      <c r="H19" s="124" t="str">
        <f>IF(G19&gt;0,VLOOKUP(G19,'[1]DrawPrep'!$D$3:$I$18,2,FALSE),"bye")</f>
        <v>ΓΚΙΘΚΟΠΟΥΛΟΣ ΑΡΙΣΤΟΤΕΛΗΣ</v>
      </c>
      <c r="I19" s="95" t="str">
        <f t="shared" si="0"/>
        <v>ΓΚΙΘΚΟΠΟΥΛΟΣ</v>
      </c>
      <c r="J19" s="125" t="str">
        <f>IF($G19&gt;0,VLOOKUP($G19,'[1]DrawPrep'!$D$3:$I$18,3,FALSE),"")</f>
        <v>Ο.Α.ΚΑΛΑΜΑΚΙΟΥ</v>
      </c>
      <c r="K19" s="24"/>
      <c r="L19" s="37"/>
      <c r="N19" s="37"/>
      <c r="O19" s="36"/>
      <c r="P19" s="126" t="str">
        <f>UPPER(IF($A$2="R",IF(OR(O20=1,O20="a"),P11,IF(OR(O20=2,O20="b"),P27,"")),IF(OR(O20=1,O20="a"),P11,IF(OR(O20=2,O20="b"),P27,""))))</f>
        <v>ΝΤΙΝΤΟ</v>
      </c>
      <c r="X19" s="26">
        <f t="shared" si="1"/>
        <v>30989</v>
      </c>
      <c r="Y19" s="10" t="str">
        <f t="shared" si="2"/>
        <v>ΓΚΙΘΚΟΠΟΥΛΟΣ ΑΡΙΣΤΟΤΕΛΗΣ</v>
      </c>
      <c r="Z19" s="51"/>
      <c r="AA19" s="116">
        <f>L19</f>
        <v>0</v>
      </c>
      <c r="AB19" s="10"/>
      <c r="AC19" s="51" t="str">
        <f>P19</f>
        <v>ΝΤΙΝΤΟ</v>
      </c>
    </row>
    <row r="20" spans="1:29" ht="12.75" customHeight="1">
      <c r="A20" s="161"/>
      <c r="B20" s="127"/>
      <c r="C20" s="128"/>
      <c r="D20" s="65"/>
      <c r="E20" s="129"/>
      <c r="F20" s="169"/>
      <c r="G20" s="130">
        <f>IF('[1]Setup'!$B$25="#",0,IF(F19&gt;0,VLOOKUP(F19,'[1]DrawPrep'!$A$3:$K$18,9,FALSE),0))</f>
        <v>32212</v>
      </c>
      <c r="H20" s="131" t="str">
        <f>IF(G20&gt;0,VLOOKUP(G20,'[1]DrawPrep'!$I$3:$K$18,2,FALSE)," ")</f>
        <v>ΡΑΠΤΗΣ ΚΩΝΣΤΑΝΤΙΝΟΣ</v>
      </c>
      <c r="I20" s="100" t="str">
        <f t="shared" si="0"/>
        <v>ΡΑΠΤΗΣ</v>
      </c>
      <c r="J20" s="132" t="str">
        <f>IF($G20&gt;0,VLOOKUP($G20,'[1]DrawPrep'!$I$3:$K$18,3,FALSE),"")</f>
        <v>Σ.Α.ΡΑΦΗΝΑΣ</v>
      </c>
      <c r="K20" s="24"/>
      <c r="L20" s="37"/>
      <c r="N20" s="37"/>
      <c r="O20" s="50">
        <v>1</v>
      </c>
      <c r="P20" s="133" t="str">
        <f>UPPER(IF($A$2="R",IF(OR(O20=1,O20="a"),P12,IF(OR(O20=2,O20="b"),P28,"")),IF(OR(O20=1,O20="a"),P12,IF(OR(O20=2,O20="b"),P28,""))))</f>
        <v>ΛΟΥΚΑΣ</v>
      </c>
      <c r="X20" s="73">
        <f t="shared" si="1"/>
        <v>32212</v>
      </c>
      <c r="Y20" s="52" t="str">
        <f t="shared" si="2"/>
        <v>ΡΑΠΤΗΣ ΚΩΝΣΤΑΝΤΙΝΟΣ</v>
      </c>
      <c r="Z20" s="51"/>
      <c r="AA20" s="10"/>
      <c r="AB20" s="10"/>
      <c r="AC20" s="51" t="str">
        <f>P20</f>
        <v>ΛΟΥΚΑΣ</v>
      </c>
    </row>
    <row r="21" spans="1:29" ht="12.75" customHeight="1">
      <c r="A21" s="162">
        <v>9</v>
      </c>
      <c r="B21" s="114">
        <f>VALUE('[1]Setup'!E3)</f>
        <v>3</v>
      </c>
      <c r="C21" s="76"/>
      <c r="D21" s="77">
        <f>D19+E21</f>
        <v>2</v>
      </c>
      <c r="E21" s="78">
        <v>0</v>
      </c>
      <c r="F21" s="164">
        <f>VLOOKUP($B21,'[1]Setup'!$G$12:$H$27,2,FALSE)</f>
        <v>3</v>
      </c>
      <c r="G21" s="31">
        <f>IF('[1]Setup'!$B$25="#",0,IF(F21&gt;0,VLOOKUP(F21,'[1]DrawPrep'!$A$3:$K$18,4,FALSE),0))</f>
        <v>30061</v>
      </c>
      <c r="H21" s="32" t="str">
        <f>IF(G21&gt;0,VLOOKUP(G21,'[1]DrawPrep'!$D$3:$I$18,2,FALSE),"bye")</f>
        <v>ΑΝΑΓΝΩΣΤΟΠΟΥΛΟΣ ΔΗΜΗΤΡΗΣ</v>
      </c>
      <c r="I21" s="33" t="str">
        <f t="shared" si="0"/>
        <v>ΑΝΑΓΝΩΣΤΟΠΟΥΛΟΣ</v>
      </c>
      <c r="J21" s="34" t="str">
        <f>IF($G21&gt;0,VLOOKUP($G21,'[1]DrawPrep'!$D$3:$I$18,3,FALSE),"")</f>
        <v>Ο.Α.ΚΕΡΑΤΣΙΝΙΟΥ</v>
      </c>
      <c r="K21" s="11"/>
      <c r="L21" s="35" t="str">
        <f>UPPER(IF($A$2="R",IF(OR(K22=1,K22="a"),G21,IF(OR(K22=2,K22="b"),G23,"")),IF(OR(K22=1,K22="1"),I21,IF(OR(K22=2,K22="b"),I23,""))))</f>
        <v>ΑΝΑΓΝΩΣΤΟΠΟΥΛΟΣ</v>
      </c>
      <c r="M21" s="36"/>
      <c r="N21" s="37"/>
      <c r="O21" s="36"/>
      <c r="P21" s="110" t="s">
        <v>17</v>
      </c>
      <c r="X21" s="39">
        <f t="shared" si="1"/>
        <v>30061</v>
      </c>
      <c r="Y21" s="40" t="str">
        <f t="shared" si="2"/>
        <v>ΑΝΑΓΝΩΣΤΟΠΟΥΛΟΣ ΔΗΜΗΤΡΗΣ</v>
      </c>
      <c r="Z21" s="41"/>
      <c r="AA21" s="10" t="str">
        <f>L21</f>
        <v>ΑΝΑΓΝΩΣΤΟΠΟΥΛΟΣ</v>
      </c>
      <c r="AB21" s="10"/>
      <c r="AC21" s="41" t="str">
        <f>P21</f>
        <v>64 64</v>
      </c>
    </row>
    <row r="22" spans="1:29" ht="12.75" customHeight="1">
      <c r="A22" s="163"/>
      <c r="B22" s="134"/>
      <c r="C22" s="85"/>
      <c r="D22" s="86"/>
      <c r="E22" s="87"/>
      <c r="F22" s="165"/>
      <c r="G22" s="46">
        <f>IF('[1]Setup'!$B$25="#",0,IF(F21&gt;0,VLOOKUP(F21,'[1]DrawPrep'!$A$3:$K$18,9,FALSE),0))</f>
        <v>31285</v>
      </c>
      <c r="H22" s="47" t="str">
        <f>IF(G22&gt;0,VLOOKUP(G22,'[1]DrawPrep'!$I$3:$K$18,2,FALSE)," ")</f>
        <v>ΚΩΣΤΟΥΡΟΣ ΔΗΜΗΤΡΙΟΣ</v>
      </c>
      <c r="I22" s="48" t="str">
        <f t="shared" si="0"/>
        <v>ΚΩΣΤΟΥΡΟΣ</v>
      </c>
      <c r="J22" s="49" t="str">
        <f>IF($G22&gt;0,VLOOKUP($G22,'[1]DrawPrep'!$I$3:$K$18,3,FALSE),"")</f>
        <v>ΠΕΥΚΗ Γ.ΚΑΛΟΒΕΛΩΝΗΣ</v>
      </c>
      <c r="K22" s="50">
        <v>1</v>
      </c>
      <c r="L22" s="35" t="str">
        <f>UPPER(IF($A$2="R",IF(OR(K22=1,K22="a"),G22,IF(OR(K22=2,K22="b"),G24,"")),IF(OR(K22=1,K22="1"),I22,IF(OR(K22=2,K22="b"),I24,""))))</f>
        <v>ΚΩΣΤΟΥΡΟΣ</v>
      </c>
      <c r="M22" s="36"/>
      <c r="N22" s="37"/>
      <c r="P22" s="110"/>
      <c r="X22" s="26">
        <f t="shared" si="1"/>
        <v>31285</v>
      </c>
      <c r="Y22" s="10" t="str">
        <f t="shared" si="2"/>
        <v>ΚΩΣΤΟΥΡΟΣ ΔΗΜΗΤΡΙΟΣ</v>
      </c>
      <c r="Z22" s="51"/>
      <c r="AA22" s="10" t="str">
        <f>L22</f>
        <v>ΚΩΣΤΟΥΡΟΣ</v>
      </c>
      <c r="AB22" s="10"/>
      <c r="AC22" s="51"/>
    </row>
    <row r="23" spans="1:29" ht="12.75" customHeight="1">
      <c r="A23" s="166">
        <v>10</v>
      </c>
      <c r="B23" s="53">
        <f>7-D23+4</f>
        <v>8</v>
      </c>
      <c r="C23" s="120">
        <f>VALUE('[1]Setup'!E3)</f>
        <v>3</v>
      </c>
      <c r="D23" s="55">
        <f>D21+E23</f>
        <v>3</v>
      </c>
      <c r="E23" s="56">
        <f>IF($B$2&gt;=C23,1,0)</f>
        <v>1</v>
      </c>
      <c r="F23" s="166" t="str">
        <f>IF($B$2&gt;=C23,"-",VLOOKUP($B23,'[1]Setup'!$G$12:$H$27,2,FALSE))</f>
        <v>-</v>
      </c>
      <c r="G23" s="57">
        <f>IF('[1]Setup'!$B$25="#",0,IF(NOT(F23="-"),VLOOKUP(F23,'[1]DrawPrep'!$A$3:$K$18,4,FALSE),0))</f>
        <v>0</v>
      </c>
      <c r="H23" s="58" t="str">
        <f>IF(G23&gt;0,VLOOKUP(G23,'[1]DrawPrep'!$D$3:$I$18,2,FALSE),"bye")</f>
        <v>bye</v>
      </c>
      <c r="I23" s="59">
        <f t="shared" si="0"/>
      </c>
      <c r="J23" s="60">
        <f>IF($G23&gt;0,VLOOKUP($G23,'[1]DrawPrep'!$D$3:$I$18,3,FALSE),"")</f>
      </c>
      <c r="K23" s="24"/>
      <c r="L23" s="61"/>
      <c r="M23" s="11"/>
      <c r="N23" s="35" t="str">
        <f>UPPER(IF($A$2="R",IF(OR(M24=1,M24="a"),L21,IF(OR(M24=2,M23="b"),L25,"")),IF(OR(M24=1,M24="a"),L21,IF(OR(M24=2,M24="b"),L25,""))))</f>
        <v>ΑΝΑΓΝΩΣΤΟΠΟΥΛΟΣ</v>
      </c>
      <c r="O23" s="36"/>
      <c r="P23" s="110"/>
      <c r="X23" s="26">
        <f t="shared" si="1"/>
        <v>0</v>
      </c>
      <c r="Y23" s="10" t="str">
        <f t="shared" si="2"/>
        <v>bye</v>
      </c>
      <c r="Z23" s="51"/>
      <c r="AA23" s="62">
        <f>L23</f>
        <v>0</v>
      </c>
      <c r="AB23" s="10" t="str">
        <f>N23</f>
        <v>ΑΝΑΓΝΩΣΤΟΠΟΥΛΟΣ</v>
      </c>
      <c r="AC23" s="51"/>
    </row>
    <row r="24" spans="1:29" ht="12.75" customHeight="1">
      <c r="A24" s="167"/>
      <c r="B24" s="63"/>
      <c r="C24" s="135"/>
      <c r="D24" s="65"/>
      <c r="E24" s="66"/>
      <c r="F24" s="167"/>
      <c r="G24" s="67">
        <f>IF('[1]Setup'!$B$25="#",0,IF(NOT(F23="-"),VLOOKUP(F23,'[1]DrawPrep'!$A$3:$K$18,9,FALSE),0))</f>
        <v>0</v>
      </c>
      <c r="H24" s="68" t="str">
        <f>IF(G24&gt;0,VLOOKUP(G24,'[1]DrawPrep'!$I$3:$K$18,2,FALSE)," ")</f>
        <v> </v>
      </c>
      <c r="I24" s="69">
        <f t="shared" si="0"/>
      </c>
      <c r="J24" s="70">
        <f>IF($G24&gt;0,VLOOKUP($G24,'[1]DrawPrep'!$I$3:$K$18,3,FALSE),"")</f>
      </c>
      <c r="K24" s="24"/>
      <c r="L24" s="71"/>
      <c r="M24" s="72">
        <v>1</v>
      </c>
      <c r="N24" s="35" t="str">
        <f>UPPER(IF($A$2="R",IF(OR(M24=1,M24="a"),L22,IF(OR(M24=2,M24="b"),L26,"")),IF(OR(M24=1,M24="a"),L22,IF(OR(M24=2,M24="b"),L26,""))))</f>
        <v>ΚΩΣΤΟΥΡΟΣ</v>
      </c>
      <c r="O24" s="36"/>
      <c r="P24" s="110"/>
      <c r="X24" s="73">
        <f t="shared" si="1"/>
        <v>0</v>
      </c>
      <c r="Y24" s="52" t="str">
        <f t="shared" si="2"/>
        <v> </v>
      </c>
      <c r="Z24" s="51"/>
      <c r="AA24" s="74"/>
      <c r="AB24" s="10" t="str">
        <f>N24</f>
        <v>ΚΩΣΤΟΥΡΟΣ</v>
      </c>
      <c r="AC24" s="51"/>
    </row>
    <row r="25" spans="1:29" ht="12.75" customHeight="1">
      <c r="A25" s="158">
        <v>11</v>
      </c>
      <c r="B25" s="75">
        <f>8-D25+4</f>
        <v>9</v>
      </c>
      <c r="C25" s="76"/>
      <c r="D25" s="77">
        <f>D23+E25</f>
        <v>3</v>
      </c>
      <c r="E25" s="78">
        <v>0</v>
      </c>
      <c r="F25" s="158">
        <f>VLOOKUP($B25,'[1]Setup'!$G$12:$H$27,2,FALSE)</f>
        <v>8</v>
      </c>
      <c r="G25" s="79">
        <f>IF('[1]Setup'!$B$25="#",0,IF(F25&gt;0,VLOOKUP(F25,'[1]DrawPrep'!$A$3:$K$18,4,FALSE),0))</f>
        <v>31791</v>
      </c>
      <c r="H25" s="80" t="str">
        <f>IF(G25&gt;0,VLOOKUP(G25,'[1]DrawPrep'!$D$3:$I$18,2,FALSE),"bye")</f>
        <v>ΚΑΡΑΜΑΝΗΣ ΟΡΕΣΤΗΣ</v>
      </c>
      <c r="I25" s="81" t="str">
        <f t="shared" si="0"/>
        <v>ΚΑΡΑΜΑΝΗΣ</v>
      </c>
      <c r="J25" s="82" t="str">
        <f>IF($G25&gt;0,VLOOKUP($G25,'[1]DrawPrep'!$D$3:$I$18,3,FALSE),"")</f>
        <v>Α.Ο.Α.ΧΑΪΔΑΡΙΟΥ</v>
      </c>
      <c r="K25" s="11"/>
      <c r="L25" s="35" t="str">
        <f>UPPER(IF($A$2="R",IF(OR(K26=1,K26="a"),G25,IF(OR(K26=2,K26="b"),G27,"")),IF(OR(K26=1,K26="1"),I25,IF(OR(K26=2,K26="b"),I27,""))))</f>
        <v>ΚΑΡΑΜΑΝΗΣ</v>
      </c>
      <c r="M25" s="83"/>
      <c r="N25" s="61" t="s">
        <v>18</v>
      </c>
      <c r="O25" s="36"/>
      <c r="P25" s="110"/>
      <c r="X25" s="39">
        <f t="shared" si="1"/>
        <v>31791</v>
      </c>
      <c r="Y25" s="40" t="str">
        <f t="shared" si="2"/>
        <v>ΚΑΡΑΜΑΝΗΣ ΟΡΕΣΤΗΣ</v>
      </c>
      <c r="Z25" s="41"/>
      <c r="AA25" s="74" t="str">
        <f>L25</f>
        <v>ΚΑΡΑΜΑΝΗΣ</v>
      </c>
      <c r="AB25" s="62" t="str">
        <f>N25</f>
        <v>60 76</v>
      </c>
      <c r="AC25" s="51"/>
    </row>
    <row r="26" spans="1:29" ht="12.75" customHeight="1">
      <c r="A26" s="159"/>
      <c r="B26" s="84"/>
      <c r="C26" s="85"/>
      <c r="D26" s="86"/>
      <c r="E26" s="87"/>
      <c r="F26" s="159"/>
      <c r="G26" s="88">
        <f>IF('[1]Setup'!$B$25="#",0,IF(F25&gt;0,VLOOKUP(F25,'[1]DrawPrep'!$A$3:$K$18,9,FALSE),0))</f>
        <v>34511</v>
      </c>
      <c r="H26" s="89" t="str">
        <f>IF(G26&gt;0,VLOOKUP(G26,'[1]DrawPrep'!$I$3:$K$18,2,FALSE)," ")</f>
        <v>ΚΑΡΑΧΑΛΙΟΣ ΑΓΓΕΛΟΣ</v>
      </c>
      <c r="I26" s="90" t="str">
        <f t="shared" si="0"/>
        <v>ΚΑΡΑΧΑΛΙΟΣ</v>
      </c>
      <c r="J26" s="91" t="str">
        <f>IF($G26&gt;0,VLOOKUP($G26,'[1]DrawPrep'!$I$3:$K$18,3,FALSE),"")</f>
        <v>Ο.Α.ΣΟΥΔΑΣ</v>
      </c>
      <c r="K26" s="50">
        <v>1</v>
      </c>
      <c r="L26" s="70" t="str">
        <f>UPPER(IF($A$2="R",IF(OR(K26=1,K26="a"),G26,IF(OR(K26=2,K26="b"),G28,"")),IF(OR(K26=1,K26="1"),I26,IF(OR(K26=2,K26="b"),I28,""))))</f>
        <v>ΚΑΡΑΧΑΛΙΟΣ</v>
      </c>
      <c r="M26" s="83"/>
      <c r="N26" s="71"/>
      <c r="O26" s="36"/>
      <c r="P26" s="110"/>
      <c r="X26" s="26">
        <f t="shared" si="1"/>
        <v>34511</v>
      </c>
      <c r="Y26" s="10" t="str">
        <f t="shared" si="2"/>
        <v>ΚΑΡΑΧΑΛΙΟΣ ΑΓΓΕΛΟΣ</v>
      </c>
      <c r="Z26" s="51"/>
      <c r="AA26" s="92" t="str">
        <f>L26</f>
        <v>ΚΑΡΑΧΑΛΙΟΣ</v>
      </c>
      <c r="AB26" s="51"/>
      <c r="AC26" s="51"/>
    </row>
    <row r="27" spans="1:29" ht="12.75" customHeight="1">
      <c r="A27" s="160">
        <v>12</v>
      </c>
      <c r="B27" s="53">
        <f>9-D27+4</f>
        <v>10</v>
      </c>
      <c r="C27" s="54">
        <v>6</v>
      </c>
      <c r="D27" s="55">
        <f>D25+E27</f>
        <v>3</v>
      </c>
      <c r="E27" s="56">
        <f>IF($B$2&gt;=C27,1,0)</f>
        <v>0</v>
      </c>
      <c r="F27" s="160">
        <f>IF($B$2&gt;=C27,"-",VLOOKUP($B27,'[1]Setup'!$G$12:$H$27,2,FALSE))</f>
        <v>12</v>
      </c>
      <c r="G27" s="93">
        <f>IF('[1]Setup'!$B$25="#",0,IF(NOT(F27="-"),VLOOKUP(F27,'[1]DrawPrep'!$A$3:$K$18,4,FALSE),0))</f>
        <v>30546</v>
      </c>
      <c r="H27" s="94" t="str">
        <f>IF(G27&gt;0,VLOOKUP(G27,'[1]DrawPrep'!$D$3:$I$18,2,FALSE),"bye")</f>
        <v>ΤΣΑΓΛΙΩΤΗΣ ΑΝΤΩΝΗΣ</v>
      </c>
      <c r="I27" s="95" t="str">
        <f t="shared" si="0"/>
        <v>ΤΣΑΓΛΙΩΤΗΣ</v>
      </c>
      <c r="J27" s="96" t="str">
        <f>IF($G27&gt;0,VLOOKUP($G27,'[1]DrawPrep'!$D$3:$I$18,3,FALSE),"")</f>
        <v>Ο.Α.ΡΕΘΥΜΝΟΥ</v>
      </c>
      <c r="K27" s="24"/>
      <c r="L27" s="37" t="s">
        <v>19</v>
      </c>
      <c r="M27" s="36"/>
      <c r="N27" s="71"/>
      <c r="O27" s="11"/>
      <c r="P27" s="136" t="str">
        <f>UPPER(IF($A$2="R",IF(OR(O28=1,O28="a"),N23,IF(OR(O28=2,O28="b"),N31,"")),IF(OR(O28=1,O28="a"),N23,IF(OR(O28=2,O28="b"),N31,""))))</f>
        <v>ΑΝΑΓΝΩΣΤΟΠΟΥΛΟΣ</v>
      </c>
      <c r="X27" s="26">
        <f t="shared" si="1"/>
        <v>30546</v>
      </c>
      <c r="Y27" s="10" t="str">
        <f t="shared" si="2"/>
        <v>ΤΣΑΓΛΙΩΤΗΣ ΑΝΤΩΝΗΣ</v>
      </c>
      <c r="Z27" s="51"/>
      <c r="AA27" s="10" t="str">
        <f>L27</f>
        <v>62 63</v>
      </c>
      <c r="AB27" s="51"/>
      <c r="AC27" s="51" t="str">
        <f>P27</f>
        <v>ΑΝΑΓΝΩΣΤΟΠΟΥΛΟΣ</v>
      </c>
    </row>
    <row r="28" spans="1:29" ht="12.75" customHeight="1">
      <c r="A28" s="161"/>
      <c r="B28" s="63"/>
      <c r="C28" s="64"/>
      <c r="D28" s="65"/>
      <c r="E28" s="66"/>
      <c r="F28" s="161"/>
      <c r="G28" s="98">
        <f>IF('[1]Setup'!$B$25="#",0,IF(NOT(F27="-"),VLOOKUP(F27,'[1]DrawPrep'!$A$3:$K$18,9,FALSE),0))</f>
        <v>30710</v>
      </c>
      <c r="H28" s="99" t="str">
        <f>IF(G28&gt;0,VLOOKUP(G28,'[1]DrawPrep'!$I$3:$K$18,2,FALSE)," ")</f>
        <v>ΚΑΖΙΑΛΕΣ ΕΥΑΓΓΕΛΟΣ</v>
      </c>
      <c r="I28" s="100" t="str">
        <f t="shared" si="0"/>
        <v>ΚΑΖΙΑΛΕΣ</v>
      </c>
      <c r="J28" s="101" t="str">
        <f>IF($G28&gt;0,VLOOKUP($G28,'[1]DrawPrep'!$I$3:$K$18,3,FALSE),"")</f>
        <v>Ο.Α.ΡΕΘΥΜΝΟΥ</v>
      </c>
      <c r="K28" s="24"/>
      <c r="L28" s="13"/>
      <c r="M28" s="36"/>
      <c r="N28" s="71"/>
      <c r="O28" s="50">
        <v>1</v>
      </c>
      <c r="P28" s="137" t="str">
        <f>UPPER(IF($A$2="R",IF(OR(O28=1,O28="a"),N24,IF(OR(O28=2,O28="b"),N32,"")),IF(OR(O28=1,O28="a"),N24,IF(OR(O28=2,O28="b"),N32,""))))</f>
        <v>ΚΩΣΤΟΥΡΟΣ</v>
      </c>
      <c r="X28" s="73">
        <f t="shared" si="1"/>
        <v>30710</v>
      </c>
      <c r="Y28" s="52" t="str">
        <f t="shared" si="2"/>
        <v>ΚΑΖΙΑΛΕΣ ΕΥΑΓΓΕΛΟΣ</v>
      </c>
      <c r="Z28" s="51"/>
      <c r="AA28" s="10"/>
      <c r="AB28" s="51"/>
      <c r="AC28" s="113" t="str">
        <f>P28</f>
        <v>ΚΩΣΤΟΥΡΟΣ</v>
      </c>
    </row>
    <row r="29" spans="1:29" ht="12.75" customHeight="1">
      <c r="A29" s="162">
        <v>13</v>
      </c>
      <c r="B29" s="75">
        <f>10-D29+4</f>
        <v>11</v>
      </c>
      <c r="C29" s="76"/>
      <c r="D29" s="77">
        <f>D27+E29</f>
        <v>3</v>
      </c>
      <c r="E29" s="78">
        <v>0</v>
      </c>
      <c r="F29" s="162">
        <f>VLOOKUP($B29,'[1]Setup'!$G$12:$H$27,2,FALSE)</f>
        <v>7</v>
      </c>
      <c r="G29" s="102">
        <f>IF('[1]Setup'!$B$25="#",0,IF(F29&gt;0,VLOOKUP(F29,'[1]DrawPrep'!$A$3:$K$18,4,FALSE),0))</f>
        <v>31953</v>
      </c>
      <c r="H29" s="103" t="str">
        <f>IF(G29&gt;0,VLOOKUP(G29,'[1]DrawPrep'!$D$3:$I$18,2,FALSE),"bye")</f>
        <v>ΣΙΜΑΤΟΣ ΓΕΩΡΓΙΟΣ</v>
      </c>
      <c r="I29" s="33" t="str">
        <f t="shared" si="0"/>
        <v>ΣΙΜΑΤΟΣ</v>
      </c>
      <c r="J29" s="104" t="str">
        <f>IF($G29&gt;0,VLOOKUP($G29,'[1]DrawPrep'!$D$3:$I$18,3,FALSE),"")</f>
        <v>ΗΡΑΚΛΕΙΟ Ο.Α.&amp; Α.</v>
      </c>
      <c r="K29" s="11"/>
      <c r="L29" s="35" t="str">
        <f>UPPER(IF($A$2="R",IF(OR(K30=1,K30="a"),G29,IF(OR(K30=2,K30="b"),G31,"")),IF(OR(K30=1,K30="1"),I29,IF(OR(K30=2,K30="b"),I31,""))))</f>
        <v>ΜΑΤΣΑΜΑΚΗΣ</v>
      </c>
      <c r="M29" s="36"/>
      <c r="N29" s="71"/>
      <c r="O29" s="24"/>
      <c r="P29" s="39" t="s">
        <v>20</v>
      </c>
      <c r="X29" s="39">
        <f t="shared" si="1"/>
        <v>31953</v>
      </c>
      <c r="Y29" s="40" t="str">
        <f t="shared" si="2"/>
        <v>ΣΙΜΑΤΟΣ ΓΕΩΡΓΙΟΣ</v>
      </c>
      <c r="Z29" s="41"/>
      <c r="AA29" s="10" t="str">
        <f>L29</f>
        <v>ΜΑΤΣΑΜΑΚΗΣ</v>
      </c>
      <c r="AB29" s="51"/>
      <c r="AC29" s="10" t="str">
        <f>P29</f>
        <v>67(4) 63 (8)</v>
      </c>
    </row>
    <row r="30" spans="1:29" ht="12.75" customHeight="1">
      <c r="A30" s="163"/>
      <c r="B30" s="84"/>
      <c r="C30" s="85"/>
      <c r="D30" s="86"/>
      <c r="E30" s="87"/>
      <c r="F30" s="163"/>
      <c r="G30" s="106">
        <f>IF('[1]Setup'!$B$25="#",0,IF(F29&gt;0,VLOOKUP(F29,'[1]DrawPrep'!$A$3:$K$18,9,FALSE),0))</f>
        <v>30911</v>
      </c>
      <c r="H30" s="107" t="str">
        <f>IF(G30&gt;0,VLOOKUP(G30,'[1]DrawPrep'!$I$3:$K$18,2,FALSE)," ")</f>
        <v>ΤΣΑΚΑΛΑΚΗΣ ΝΙΚΟΛΑΟΣ</v>
      </c>
      <c r="I30" s="48" t="str">
        <f t="shared" si="0"/>
        <v>ΤΣΑΚΑΛΑΚΗΣ</v>
      </c>
      <c r="J30" s="108" t="str">
        <f>IF($G30&gt;0,VLOOKUP($G30,'[1]DrawPrep'!$I$3:$K$18,3,FALSE),"")</f>
        <v>ΗΡΑΚΛΕΙΟ Ο.Α.&amp; Α.</v>
      </c>
      <c r="K30" s="109">
        <v>2</v>
      </c>
      <c r="L30" s="35" t="str">
        <f>UPPER(IF($A$2="R",IF(OR(K30=1,K30="a"),G30,IF(OR(K30=2,K30="b"),G32,"")),IF(OR(K30=1,K30="1"),I30,IF(OR(K30=2,K30="b"),I32,""))))</f>
        <v>ΚΟΝΤΑΡΑΚΗΣ</v>
      </c>
      <c r="M30" s="36"/>
      <c r="N30" s="71"/>
      <c r="O30" s="36"/>
      <c r="P30" s="37"/>
      <c r="X30" s="26">
        <f t="shared" si="1"/>
        <v>30911</v>
      </c>
      <c r="Y30" s="10" t="str">
        <f t="shared" si="2"/>
        <v>ΤΣΑΚΑΛΑΚΗΣ ΝΙΚΟΛΑΟΣ</v>
      </c>
      <c r="Z30" s="51"/>
      <c r="AA30" s="138" t="str">
        <f>L30</f>
        <v>ΚΟΝΤΑΡΑΚΗΣ</v>
      </c>
      <c r="AB30" s="51"/>
      <c r="AC30" s="10"/>
    </row>
    <row r="31" spans="1:29" ht="12.75" customHeight="1">
      <c r="A31" s="166">
        <v>14</v>
      </c>
      <c r="B31" s="53">
        <f>11-D31+4</f>
        <v>12</v>
      </c>
      <c r="C31" s="54">
        <v>8</v>
      </c>
      <c r="D31" s="55">
        <f>D29+E31</f>
        <v>3</v>
      </c>
      <c r="E31" s="56">
        <f>IF($B$2&gt;=C31,1,0)</f>
        <v>0</v>
      </c>
      <c r="F31" s="166">
        <f>IF($B$2&gt;=C31,"-",VLOOKUP($B31,'[1]Setup'!$G$12:$H$27,2,FALSE))</f>
        <v>9</v>
      </c>
      <c r="G31" s="57">
        <f>IF('[1]Setup'!$B$25="#",0,IF(NOT(F31="-"),VLOOKUP(F31,'[1]DrawPrep'!$A$3:$K$18,4,FALSE),0))</f>
        <v>30524</v>
      </c>
      <c r="H31" s="58" t="str">
        <f>IF(G31&gt;0,VLOOKUP(G31,'[1]DrawPrep'!$D$3:$I$18,2,FALSE),"bye")</f>
        <v>ΜΑΤΣΑΜΑΚΗΣ ΑΝΤΩΝΙΟΣ</v>
      </c>
      <c r="I31" s="59" t="str">
        <f t="shared" si="0"/>
        <v>ΜΑΤΣΑΜΑΚΗΣ</v>
      </c>
      <c r="J31" s="60" t="str">
        <f>IF($G31&gt;0,VLOOKUP($G31,'[1]DrawPrep'!$D$3:$I$18,3,FALSE),"")</f>
        <v>Ο.Α.ΧΑΝΙΩΝ</v>
      </c>
      <c r="K31" s="111"/>
      <c r="L31" s="61" t="s">
        <v>21</v>
      </c>
      <c r="M31" s="11"/>
      <c r="N31" s="60" t="str">
        <f>UPPER(IF($A$2="R",IF(OR(M32=1,M32="a"),L29,IF(OR(M32=2,M31="b"),L33,"")),IF(OR(M32=1,M32="a"),L29,IF(OR(M32=2,M32="b"),L33,""))))</f>
        <v>ΡΟΥΜΠΗΣ</v>
      </c>
      <c r="O31" s="36"/>
      <c r="P31" s="37"/>
      <c r="X31" s="26">
        <f t="shared" si="1"/>
        <v>30524</v>
      </c>
      <c r="Y31" s="10" t="str">
        <f t="shared" si="2"/>
        <v>ΜΑΤΣΑΜΑΚΗΣ ΑΝΤΩΝΙΟΣ</v>
      </c>
      <c r="Z31" s="51"/>
      <c r="AA31" s="62" t="str">
        <f>L31</f>
        <v>46 64 (4)</v>
      </c>
      <c r="AB31" s="51" t="str">
        <f>N31</f>
        <v>ΡΟΥΜΠΗΣ</v>
      </c>
      <c r="AC31" s="10"/>
    </row>
    <row r="32" spans="1:29" ht="12.75" customHeight="1">
      <c r="A32" s="167"/>
      <c r="B32" s="63"/>
      <c r="C32" s="64"/>
      <c r="D32" s="65"/>
      <c r="E32" s="66"/>
      <c r="F32" s="167"/>
      <c r="G32" s="67">
        <f>IF('[1]Setup'!$B$25="#",0,IF(NOT(F31="-"),VLOOKUP(F31,'[1]DrawPrep'!$A$3:$K$18,9,FALSE),0))</f>
        <v>30535</v>
      </c>
      <c r="H32" s="68" t="str">
        <f>IF(G32&gt;0,VLOOKUP(G32,'[1]DrawPrep'!$I$3:$K$18,2,FALSE)," ")</f>
        <v>ΚΟΝΤΑΡΑΚΗΣ ΑΝΔΡΕΑΣ</v>
      </c>
      <c r="I32" s="69" t="str">
        <f t="shared" si="0"/>
        <v>ΚΟΝΤΑΡΑΚΗΣ</v>
      </c>
      <c r="J32" s="70" t="str">
        <f>IF($G32&gt;0,VLOOKUP($G32,'[1]DrawPrep'!$I$3:$K$18,3,FALSE),"")</f>
        <v>Ο.Α.ΧΑΝΙΩΝ</v>
      </c>
      <c r="K32" s="24"/>
      <c r="L32" s="71"/>
      <c r="M32" s="50">
        <v>2</v>
      </c>
      <c r="N32" s="70" t="str">
        <f>UPPER(IF($A$2="R",IF(OR(M32=1,M32="a"),L30,IF(OR(M32=2,M32="b"),L34,"")),IF(OR(M32=1,M32="a"),L30,IF(OR(M32=2,M32="b"),L34,""))))</f>
        <v>ΔΡΑΚΟΣ</v>
      </c>
      <c r="O32" s="36"/>
      <c r="P32" s="37"/>
      <c r="X32" s="73">
        <f t="shared" si="1"/>
        <v>30535</v>
      </c>
      <c r="Y32" s="52" t="str">
        <f t="shared" si="2"/>
        <v>ΚΟΝΤΑΡΑΚΗΣ ΑΝΔΡΕΑΣ</v>
      </c>
      <c r="Z32" s="51"/>
      <c r="AA32" s="74"/>
      <c r="AB32" s="92" t="str">
        <f>N32</f>
        <v>ΔΡΑΚΟΣ</v>
      </c>
      <c r="AC32" s="10"/>
    </row>
    <row r="33" spans="1:29" ht="12.75" customHeight="1">
      <c r="A33" s="158">
        <v>15</v>
      </c>
      <c r="B33" s="75">
        <f>12-D33+4</f>
        <v>12</v>
      </c>
      <c r="C33" s="139">
        <v>2</v>
      </c>
      <c r="D33" s="77">
        <f>D31+E33</f>
        <v>4</v>
      </c>
      <c r="E33" s="115">
        <f>IF($B$2&gt;=C33,1,0)</f>
        <v>1</v>
      </c>
      <c r="F33" s="158" t="str">
        <f>IF($B$2&gt;=C33,"-",VLOOKUP($B33,'[1]Setup'!$G$12:$H$27,2,FALSE))</f>
        <v>-</v>
      </c>
      <c r="G33" s="79">
        <f>IF('[1]Setup'!$B$25="#",0,IF(NOT(F33="-"),VLOOKUP(F33,'[1]DrawPrep'!$A$3:$K$18,4,FALSE),0))</f>
        <v>0</v>
      </c>
      <c r="H33" s="80" t="str">
        <f>IF(G33&gt;0,VLOOKUP(G33,'[1]DrawPrep'!$D$3:$I$18,2,FALSE),"bye")</f>
        <v>bye</v>
      </c>
      <c r="I33" s="81">
        <f t="shared" si="0"/>
      </c>
      <c r="J33" s="82">
        <f>IF($G33&gt;0,VLOOKUP($G33,'[1]DrawPrep'!$D$3:$I$18,3,FALSE),"")</f>
      </c>
      <c r="K33" s="11"/>
      <c r="L33" s="35" t="str">
        <f>UPPER(IF($A$2="R",IF(OR(K34=1,K34="a"),G33,IF(OR(K34=2,K34="b"),G35,"")),IF(OR(K34=1,K34="1"),I33,IF(OR(K34=2,K34="b"),I35,""))))</f>
        <v>ΡΟΥΜΠΗΣ</v>
      </c>
      <c r="M33" s="83"/>
      <c r="N33" s="37" t="s">
        <v>22</v>
      </c>
      <c r="O33" s="36"/>
      <c r="P33" s="37"/>
      <c r="X33" s="39">
        <f t="shared" si="1"/>
        <v>0</v>
      </c>
      <c r="Y33" s="40" t="str">
        <f t="shared" si="2"/>
        <v>bye</v>
      </c>
      <c r="Z33" s="41"/>
      <c r="AA33" s="74" t="str">
        <f>L33</f>
        <v>ΡΟΥΜΠΗΣ</v>
      </c>
      <c r="AB33" s="10" t="str">
        <f>N33</f>
        <v>63 75</v>
      </c>
      <c r="AC33" s="10"/>
    </row>
    <row r="34" spans="1:29" ht="12.75" customHeight="1">
      <c r="A34" s="159"/>
      <c r="B34" s="84"/>
      <c r="C34" s="140"/>
      <c r="D34" s="86"/>
      <c r="E34" s="118"/>
      <c r="F34" s="159"/>
      <c r="G34" s="88">
        <f>IF('[1]Setup'!$B$25="#",0,IF(NOT(F33="-"),VLOOKUP(F33,'[1]DrawPrep'!$A$3:$K$18,9,FALSE),0))</f>
        <v>0</v>
      </c>
      <c r="H34" s="89" t="str">
        <f>IF(G34&gt;0,VLOOKUP(G34,'[1]DrawPrep'!$I$3:$K$18,2,FALSE)," ")</f>
        <v> </v>
      </c>
      <c r="I34" s="90">
        <f t="shared" si="0"/>
      </c>
      <c r="J34" s="91">
        <f>IF($G34&gt;0,VLOOKUP($G34,'[1]DrawPrep'!$I$3:$K$18,3,FALSE),"")</f>
      </c>
      <c r="K34" s="50">
        <v>2</v>
      </c>
      <c r="L34" s="35" t="str">
        <f>UPPER(IF($A$2="R",IF(OR(K34=1,K34="a"),G34,IF(OR(K34=2,K34="b"),G36,"")),IF(OR(K34=1,K34="1"),I34,IF(OR(K34=2,K34="b"),I36,""))))</f>
        <v>ΔΡΑΚΟΣ</v>
      </c>
      <c r="M34" s="83"/>
      <c r="N34" s="37"/>
      <c r="O34" s="36"/>
      <c r="P34" s="37"/>
      <c r="X34" s="26">
        <f t="shared" si="1"/>
        <v>0</v>
      </c>
      <c r="Y34" s="10" t="str">
        <f t="shared" si="2"/>
        <v> </v>
      </c>
      <c r="Z34" s="51"/>
      <c r="AA34" s="92" t="str">
        <f>L34</f>
        <v>ΔΡΑΚΟΣ</v>
      </c>
      <c r="AB34" s="10"/>
      <c r="AC34" s="10"/>
    </row>
    <row r="35" spans="1:29" ht="12.75" customHeight="1">
      <c r="A35" s="160">
        <v>16</v>
      </c>
      <c r="B35" s="141">
        <v>2</v>
      </c>
      <c r="C35" s="121"/>
      <c r="D35" s="55">
        <f>D33+E35</f>
        <v>4</v>
      </c>
      <c r="E35" s="122">
        <v>0</v>
      </c>
      <c r="F35" s="168">
        <f>VLOOKUP($B35,'[1]Setup'!$G$12:$H$27,2,FALSE)</f>
        <v>2</v>
      </c>
      <c r="G35" s="123">
        <f>IF('[1]Setup'!$B$25="#",0,IF(F35&gt;0,VLOOKUP(F35,'[1]DrawPrep'!$A$3:$K$18,4,FALSE),0))</f>
        <v>30060</v>
      </c>
      <c r="H35" s="124" t="str">
        <f>IF(G35&gt;0,VLOOKUP(G35,'[1]DrawPrep'!$D$3:$I$18,2,FALSE),"bye")</f>
        <v>ΡΟΥΜΠΗΣ ΑΛΕΞΑΝΔΡΟΣ</v>
      </c>
      <c r="I35" s="95" t="str">
        <f t="shared" si="0"/>
        <v>ΡΟΥΜΠΗΣ</v>
      </c>
      <c r="J35" s="125" t="str">
        <f>IF($G35&gt;0,VLOOKUP($G35,'[1]DrawPrep'!$D$3:$I$18,3,FALSE),"")</f>
        <v>Ο.Α.ΧΑΛΚΙΔΑΣ</v>
      </c>
      <c r="K35" s="24"/>
      <c r="L35" s="97"/>
      <c r="N35" s="37"/>
      <c r="P35" s="37"/>
      <c r="X35" s="26">
        <f t="shared" si="1"/>
        <v>30060</v>
      </c>
      <c r="Y35" s="10" t="str">
        <f t="shared" si="2"/>
        <v>ΡΟΥΜΠΗΣ ΑΛΕΞΑΝΔΡΟΣ</v>
      </c>
      <c r="Z35" s="51"/>
      <c r="AA35" s="10">
        <f>L35</f>
        <v>0</v>
      </c>
      <c r="AB35" s="10"/>
      <c r="AC35" s="10"/>
    </row>
    <row r="36" spans="1:29" ht="12.75" customHeight="1">
      <c r="A36" s="161"/>
      <c r="B36" s="142"/>
      <c r="C36" s="67"/>
      <c r="D36" s="143"/>
      <c r="E36" s="144"/>
      <c r="F36" s="169"/>
      <c r="G36" s="130">
        <f>IF('[1]Setup'!$B$25="#",0,IF(F35&gt;0,VLOOKUP(F35,'[1]DrawPrep'!$A$3:$K$18,9,FALSE),0))</f>
        <v>31476</v>
      </c>
      <c r="H36" s="145" t="str">
        <f>IF(G36&gt;0,VLOOKUP(G36,'[1]DrawPrep'!$I$3:$K$18,2,FALSE)," ")</f>
        <v>ΔΡΑΚΟΣ ΑΘΑΝΑΣΙΟΣ</v>
      </c>
      <c r="I36" s="146" t="str">
        <f t="shared" si="0"/>
        <v>ΔΡΑΚΟΣ</v>
      </c>
      <c r="J36" s="147" t="str">
        <f>IF($G36&gt;0,VLOOKUP($G36,'[1]DrawPrep'!$I$3:$K$18,3,FALSE),"")</f>
        <v>Ο.Α.ΑΘΗΝΩΝ</v>
      </c>
      <c r="K36" s="24"/>
      <c r="L36" s="37"/>
      <c r="N36" s="37"/>
      <c r="P36" s="37"/>
      <c r="X36" s="73">
        <f t="shared" si="1"/>
        <v>31476</v>
      </c>
      <c r="Y36" s="52" t="str">
        <f t="shared" si="2"/>
        <v>ΔΡΑΚΟΣ ΑΘΑΝΑΣΙΟΣ</v>
      </c>
      <c r="Z36" s="113"/>
      <c r="AA36" s="10"/>
      <c r="AB36" s="10"/>
      <c r="AC36" s="10"/>
    </row>
    <row r="37" ht="12">
      <c r="H37" s="148"/>
    </row>
    <row r="38" ht="11.25">
      <c r="F38" s="150"/>
    </row>
    <row r="40" spans="8:16" ht="11.25">
      <c r="H40" s="151" t="s">
        <v>23</v>
      </c>
      <c r="I40" s="152"/>
      <c r="J40" s="152"/>
      <c r="P40" s="153" t="s">
        <v>24</v>
      </c>
    </row>
    <row r="41" spans="8:16" ht="11.25">
      <c r="H41" s="170" t="str">
        <f>"1. "&amp;IF('[1]Setup'!$B$19&gt;0,LEFT('[1]DrawPrep'!$E$3,FIND(" ",'[1]DrawPrep'!$E$3)+1)&amp;" - "&amp;LEFT('[1]DrawPrep'!$J$3,FIND(" ",'[1]DrawPrep'!$J$3)+1),"")</f>
        <v>1. ΜΠΑΛΤΑΣ Μ - ΑΡΒΑΝΙΤΗΣ Α</v>
      </c>
      <c r="I41" s="170"/>
      <c r="J41" s="170"/>
      <c r="P41" s="154" t="str">
        <f>'[1]Setup'!$B$10</f>
        <v>Δώρα Πατσουράκου</v>
      </c>
    </row>
    <row r="42" spans="8:10" ht="11.25">
      <c r="H42" s="170" t="str">
        <f>"2. "&amp;IF('[1]Setup'!$B$19&gt;1,LEFT('[1]DrawPrep'!$E$4,FIND(" ",'[1]DrawPrep'!$E$4)+1)&amp;" - "&amp;LEFT('[1]DrawPrep'!$J$4,FIND(" ",'[1]DrawPrep'!$J$4)+1),"")</f>
        <v>2. ΡΟΥΜΠΗΣ Α - ΔΡΑΚΟΣ Α</v>
      </c>
      <c r="I42" s="170"/>
      <c r="J42" s="170"/>
    </row>
    <row r="43" spans="8:10" ht="11.25">
      <c r="H43" s="170" t="str">
        <f>"3. "&amp;IF('[1]Setup'!$B$19&gt;2,LEFT('[1]DrawPrep'!$E$5,FIND(" ",'[1]DrawPrep'!$E$5)+1)&amp;" - "&amp;LEFT('[1]DrawPrep'!$J$5,FIND(" ",'[1]DrawPrep'!$J$5)+1),"")</f>
        <v>3. ΑΝΑΓΝΩΣΤΟΠΟΥΛΟΣ Δ - ΚΩΣΤΟΥΡΟΣ Δ</v>
      </c>
      <c r="I43" s="170"/>
      <c r="J43" s="170"/>
    </row>
    <row r="44" spans="8:10" ht="11.25">
      <c r="H44" s="170" t="str">
        <f>"4. "&amp;IF('[1]Setup'!$B$19&gt;3,LEFT('[1]DrawPrep'!$E$6,FIND(" ",'[1]DrawPrep'!$E$6)+1)&amp;" - "&amp;LEFT('[1]DrawPrep'!$J$6,FIND(" ",'[1]DrawPrep'!$J$6)+1),"")</f>
        <v>4. ΓΚΙΘΚΟΠΟΥΛΟΣ Α - ΡΑΠΤΗΣ Κ</v>
      </c>
      <c r="I44" s="170"/>
      <c r="J44" s="170"/>
    </row>
    <row r="59" spans="8:10" ht="11.25">
      <c r="H59" s="155" t="s">
        <v>25</v>
      </c>
      <c r="I59" s="156"/>
      <c r="J59" s="156"/>
    </row>
    <row r="60" spans="8:10" ht="11.25">
      <c r="H60" s="157" t="str">
        <f>IF('[1]Setup'!$B$19&gt;0,LEFT('[1]DrawPrep'!$E$3,FIND(" ",'[1]DrawPrep'!$E$3)-1))</f>
        <v>ΜΠΑΛΤΑΣ</v>
      </c>
      <c r="I60" s="157"/>
      <c r="J60" s="157"/>
    </row>
    <row r="61" spans="8:10" ht="11.25">
      <c r="H61" s="157" t="str">
        <f>IF('[1]Setup'!$B$19&gt;0,LEFT('[1]DrawPrep'!$J$3,FIND(" ",'[1]DrawPrep'!$J$3)-1),"")</f>
        <v>ΑΡΒΑΝΙΤΗΣ</v>
      </c>
      <c r="I61" s="157"/>
      <c r="J61" s="157"/>
    </row>
    <row r="62" spans="8:10" ht="11.25">
      <c r="H62" s="157" t="str">
        <f>IF('[1]Setup'!$B$19&gt;0,LEFT('[1]DrawPrep'!$E$4,FIND(" ",'[1]DrawPrep'!$E$4)-1))</f>
        <v>ΡΟΥΜΠΗΣ</v>
      </c>
      <c r="I62" s="157"/>
      <c r="J62" s="157"/>
    </row>
    <row r="63" spans="8:10" ht="11.25">
      <c r="H63" s="157" t="str">
        <f>IF('[1]Setup'!$B$19&gt;0,LEFT('[1]DrawPrep'!$J$4,FIND(" ",'[1]DrawPrep'!$J$4)-1),"")</f>
        <v>ΔΡΑΚΟΣ</v>
      </c>
      <c r="I63" s="157"/>
      <c r="J63" s="157"/>
    </row>
    <row r="64" spans="8:10" ht="11.25">
      <c r="H64" s="157" t="str">
        <f>IF('[1]Setup'!$B$19&gt;0,LEFT('[1]DrawPrep'!$E$5,FIND(" ",'[1]DrawPrep'!$E$5)-1))</f>
        <v>ΑΝΑΓΝΩΣΤΟΠΟΥΛΟΣ</v>
      </c>
      <c r="I64" s="157"/>
      <c r="J64" s="157"/>
    </row>
    <row r="65" spans="8:10" ht="11.25">
      <c r="H65" s="157" t="str">
        <f>IF('[1]Setup'!$B$19&gt;0,LEFT('[1]DrawPrep'!$J$5,FIND(" ",'[1]DrawPrep'!$J$5)-1),"")</f>
        <v>ΚΩΣΤΟΥΡΟΣ</v>
      </c>
      <c r="I65" s="157"/>
      <c r="J65" s="157"/>
    </row>
    <row r="66" spans="8:10" ht="11.25">
      <c r="H66" s="157" t="str">
        <f>IF('[1]Setup'!$B$19&gt;0,LEFT('[1]DrawPrep'!$E$6,FIND(" ",'[1]DrawPrep'!$E$6)-1))</f>
        <v>ΓΚΙΘΚΟΠΟΥΛΟΣ</v>
      </c>
      <c r="I66" s="157"/>
      <c r="J66" s="157"/>
    </row>
    <row r="67" spans="8:10" ht="11.25">
      <c r="H67" s="157" t="str">
        <f>IF('[1]Setup'!$B$19&gt;0,LEFT('[1]DrawPrep'!$J$6,FIND(" ",'[1]DrawPrep'!$J$6)-1),"")</f>
        <v>ΡΑΠΤΗΣ</v>
      </c>
      <c r="I67" s="157"/>
      <c r="J67" s="157"/>
    </row>
  </sheetData>
  <sheetProtection password="CF33" sheet="1" objects="1" scenarios="1" formatCells="0" formatColumns="0"/>
  <mergeCells count="38">
    <mergeCell ref="A33:A34"/>
    <mergeCell ref="A29:A30"/>
    <mergeCell ref="A35:A36"/>
    <mergeCell ref="H41:J41"/>
    <mergeCell ref="A31:A32"/>
    <mergeCell ref="A13:A14"/>
    <mergeCell ref="A15:A16"/>
    <mergeCell ref="A17:A18"/>
    <mergeCell ref="A21:A22"/>
    <mergeCell ref="A5:A6"/>
    <mergeCell ref="A7:A8"/>
    <mergeCell ref="A9:A10"/>
    <mergeCell ref="A11:A12"/>
    <mergeCell ref="A23:A24"/>
    <mergeCell ref="A25:A26"/>
    <mergeCell ref="A27:A28"/>
    <mergeCell ref="A1:N1"/>
    <mergeCell ref="F23:F24"/>
    <mergeCell ref="F25:F26"/>
    <mergeCell ref="H3:J3"/>
    <mergeCell ref="A19:A20"/>
    <mergeCell ref="F5:F6"/>
    <mergeCell ref="F7:F8"/>
    <mergeCell ref="H44:J44"/>
    <mergeCell ref="F29:F30"/>
    <mergeCell ref="F31:F32"/>
    <mergeCell ref="F33:F34"/>
    <mergeCell ref="F35:F36"/>
    <mergeCell ref="H42:J42"/>
    <mergeCell ref="H43:J43"/>
    <mergeCell ref="F9:F10"/>
    <mergeCell ref="F11:F12"/>
    <mergeCell ref="F13:F14"/>
    <mergeCell ref="F27:F28"/>
    <mergeCell ref="F21:F22"/>
    <mergeCell ref="F15:F16"/>
    <mergeCell ref="F17:F18"/>
    <mergeCell ref="F19:F20"/>
  </mergeCells>
  <conditionalFormatting sqref="L5:L6 L13:L14 L21:L22 L29:L30 L9:L10 L17:L18 L25:L26 L33:L34 N31:N32 N23:N24 N15:N16 N7:N8 P11:P12 P27:P28 P19:P20">
    <cfRule type="expression" priority="1" dxfId="0" stopIfTrue="1">
      <formula>MATCH(L5,$H$60:$H$73,0)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momou</dc:creator>
  <cp:keywords/>
  <dc:description/>
  <cp:lastModifiedBy>nikiforakis stavros</cp:lastModifiedBy>
  <dcterms:created xsi:type="dcterms:W3CDTF">2013-06-20T15:42:33Z</dcterms:created>
  <dcterms:modified xsi:type="dcterms:W3CDTF">2013-07-05T07:30:57Z</dcterms:modified>
  <cp:category/>
  <cp:version/>
  <cp:contentType/>
  <cp:contentStatus/>
</cp:coreProperties>
</file>