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activeTab="0"/>
  </bookViews>
  <sheets>
    <sheet name="Draw" sheetId="1" r:id="rId1"/>
  </sheets>
  <externalReferences>
    <externalReference r:id="rId4"/>
  </externalReferences>
  <definedNames>
    <definedName name="_xlnm.Print_Area" localSheetId="0">'Draw'!$A$1:$S$28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<sst xmlns="http://schemas.openxmlformats.org/spreadsheetml/2006/main" count="35" uniqueCount="27">
  <si>
    <t>p1</t>
  </si>
  <si>
    <t>p2</t>
  </si>
  <si>
    <t>p3</t>
  </si>
  <si>
    <t>p4-5</t>
  </si>
  <si>
    <t>α/α</t>
  </si>
  <si>
    <t>ByeOrder</t>
  </si>
  <si>
    <t>ByeSum</t>
  </si>
  <si>
    <t>ByeCnt</t>
  </si>
  <si>
    <t>από</t>
  </si>
  <si>
    <t>seed</t>
  </si>
  <si>
    <t>Pts</t>
  </si>
  <si>
    <t>Α.Μ.</t>
  </si>
  <si>
    <t>Ονοματεπώνυμο</t>
  </si>
  <si>
    <t>επώνυμο</t>
  </si>
  <si>
    <t>Σύλλογος</t>
  </si>
  <si>
    <t>62 62</t>
  </si>
  <si>
    <t>60 62</t>
  </si>
  <si>
    <t>60 61</t>
  </si>
  <si>
    <t>60 26 62</t>
  </si>
  <si>
    <t>64 46 63</t>
  </si>
  <si>
    <t>15-0 ret</t>
  </si>
  <si>
    <t>61 60</t>
  </si>
  <si>
    <t>64 61</t>
  </si>
  <si>
    <t xml:space="preserve"> </t>
  </si>
  <si>
    <t>seeded players</t>
  </si>
  <si>
    <t>επιδιαιτητής</t>
  </si>
  <si>
    <t>BoldPlayers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</si>
</sst>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[$-F800]dddd\,\ mmmm\ dd\,\ yyyy"/>
    <numFmt numFmtId="166" formatCode="0.00000"/>
    <numFmt numFmtId="167" formatCode="0.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u val="single"/>
      <sz val="13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color indexed="55"/>
      <name val="Arial"/>
      <family val="2"/>
    </font>
    <font>
      <sz val="8"/>
      <color indexed="23"/>
      <name val="Arial"/>
      <family val="2"/>
    </font>
    <font>
      <sz val="6"/>
      <name val="Arial"/>
      <family val="2"/>
    </font>
    <font>
      <u val="single"/>
      <sz val="8"/>
      <name val="Arial"/>
      <family val="2"/>
    </font>
    <font>
      <u val="single"/>
      <sz val="6"/>
      <color indexed="55"/>
      <name val="Arial"/>
      <family val="2"/>
    </font>
    <font>
      <u val="single"/>
      <sz val="8"/>
      <color indexed="55"/>
      <name val="Arial"/>
      <family val="2"/>
    </font>
    <font>
      <b/>
      <sz val="6"/>
      <color indexed="12"/>
      <name val="Arial"/>
      <family val="2"/>
    </font>
    <font>
      <b/>
      <sz val="6"/>
      <name val="Arial"/>
      <family val="2"/>
    </font>
    <font>
      <b/>
      <sz val="8"/>
      <color indexed="12"/>
      <name val="Arial"/>
      <family val="2"/>
    </font>
    <font>
      <sz val="6"/>
      <color indexed="5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i/>
      <u val="single"/>
      <sz val="7"/>
      <name val="Arial"/>
      <family val="2"/>
    </font>
    <font>
      <b/>
      <i/>
      <sz val="7"/>
      <name val="Arial"/>
      <family val="2"/>
    </font>
    <font>
      <i/>
      <sz val="7"/>
      <color indexed="55"/>
      <name val="Arial"/>
      <family val="2"/>
    </font>
    <font>
      <b/>
      <i/>
      <u val="single"/>
      <sz val="7"/>
      <color indexed="18"/>
      <name val="Arial"/>
      <family val="2"/>
    </font>
    <font>
      <i/>
      <u val="single"/>
      <sz val="7"/>
      <name val="Arial"/>
      <family val="2"/>
    </font>
    <font>
      <sz val="8"/>
      <color indexed="22"/>
      <name val="Arial"/>
      <family val="2"/>
    </font>
    <font>
      <b/>
      <i/>
      <u val="single"/>
      <sz val="7"/>
      <color indexed="22"/>
      <name val="Arial"/>
      <family val="2"/>
    </font>
    <font>
      <i/>
      <sz val="7"/>
      <color indexed="22"/>
      <name val="Arial"/>
      <family val="2"/>
    </font>
    <font>
      <sz val="9"/>
      <color indexed="22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22" borderId="2" applyNumberFormat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5" applyNumberFormat="0" applyFill="0" applyAlignment="0" applyProtection="0"/>
    <xf numFmtId="0" fontId="13" fillId="1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0" fontId="14" fillId="2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53" fillId="35" borderId="9" applyNumberFormat="0" applyAlignment="0" applyProtection="0"/>
    <xf numFmtId="0" fontId="54" fillId="36" borderId="10" applyNumberFormat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5" fillId="43" borderId="11" applyNumberFormat="0" applyAlignment="0" applyProtection="0"/>
    <xf numFmtId="0" fontId="56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44" borderId="0" applyNumberFormat="0" applyBorder="0" applyAlignment="0" applyProtection="0"/>
    <xf numFmtId="0" fontId="61" fillId="4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46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47" borderId="15" applyNumberFormat="0" applyFont="0" applyAlignment="0" applyProtection="0"/>
    <xf numFmtId="0" fontId="64" fillId="0" borderId="16" applyNumberFormat="0" applyFill="0" applyAlignment="0" applyProtection="0"/>
    <xf numFmtId="0" fontId="65" fillId="0" borderId="17" applyNumberFormat="0" applyFill="0" applyAlignment="0" applyProtection="0"/>
    <xf numFmtId="0" fontId="66" fillId="0" borderId="0" applyNumberFormat="0" applyFill="0" applyBorder="0" applyAlignment="0" applyProtection="0"/>
    <xf numFmtId="0" fontId="67" fillId="43" borderId="9" applyNumberFormat="0" applyAlignment="0" applyProtection="0"/>
  </cellStyleXfs>
  <cellXfs count="114">
    <xf numFmtId="0" fontId="0" fillId="0" borderId="0" xfId="0" applyAlignment="1">
      <alignment/>
    </xf>
    <xf numFmtId="0" fontId="19" fillId="0" borderId="0" xfId="0" applyNumberFormat="1" applyFont="1" applyFill="1" applyBorder="1" applyAlignment="1" applyProtection="1" quotePrefix="1">
      <alignment vertical="center"/>
      <protection locked="0"/>
    </xf>
    <xf numFmtId="0" fontId="20" fillId="2" borderId="0" xfId="0" applyFont="1" applyFill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NumberFormat="1" applyFont="1" applyFill="1" applyAlignment="1" applyProtection="1">
      <alignment vertical="center"/>
      <protection locked="0"/>
    </xf>
    <xf numFmtId="0" fontId="22" fillId="13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NumberFormat="1" applyFont="1" applyFill="1" applyAlignment="1" applyProtection="1">
      <alignment vertical="center"/>
      <protection locked="0"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Alignment="1" applyProtection="1">
      <alignment horizontal="left" vertical="center"/>
      <protection locked="0"/>
    </xf>
    <xf numFmtId="0" fontId="24" fillId="0" borderId="0" xfId="0" applyNumberFormat="1" applyFont="1" applyFill="1" applyAlignment="1" applyProtection="1">
      <alignment horizontal="left" vertical="center"/>
      <protection locked="0"/>
    </xf>
    <xf numFmtId="0" fontId="25" fillId="0" borderId="0" xfId="0" applyNumberFormat="1" applyFont="1" applyFill="1" applyAlignment="1" applyProtection="1">
      <alignment horizontal="center" vertical="center"/>
      <protection locked="0"/>
    </xf>
    <xf numFmtId="0" fontId="26" fillId="0" borderId="0" xfId="0" applyNumberFormat="1" applyFont="1" applyFill="1" applyAlignment="1" applyProtection="1">
      <alignment horizontal="center" vertical="center"/>
      <protection locked="0"/>
    </xf>
    <xf numFmtId="0" fontId="27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48" borderId="0" xfId="0" applyNumberFormat="1" applyFont="1" applyFill="1" applyAlignment="1" applyProtection="1">
      <alignment horizontal="center" vertical="center"/>
      <protection locked="0"/>
    </xf>
    <xf numFmtId="0" fontId="29" fillId="48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32" fillId="0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48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8" fillId="0" borderId="18" xfId="0" applyNumberFormat="1" applyFont="1" applyFill="1" applyBorder="1" applyAlignment="1" applyProtection="1">
      <alignment horizontal="center" vertical="center"/>
      <protection locked="0"/>
    </xf>
    <xf numFmtId="0" fontId="33" fillId="0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0" fontId="33" fillId="0" borderId="18" xfId="0" applyNumberFormat="1" applyFont="1" applyFill="1" applyBorder="1" applyAlignment="1" applyProtection="1">
      <alignment horizontal="center" vertical="center"/>
      <protection/>
    </xf>
    <xf numFmtId="0" fontId="34" fillId="0" borderId="18" xfId="0" applyNumberFormat="1" applyFont="1" applyFill="1" applyBorder="1" applyAlignment="1" applyProtection="1">
      <alignment horizontal="left" vertical="center"/>
      <protection/>
    </xf>
    <xf numFmtId="0" fontId="33" fillId="0" borderId="19" xfId="0" applyNumberFormat="1" applyFont="1" applyFill="1" applyBorder="1" applyAlignment="1" applyProtection="1">
      <alignment horizontal="left" vertical="center"/>
      <protection/>
    </xf>
    <xf numFmtId="0" fontId="31" fillId="13" borderId="20" xfId="0" applyNumberFormat="1" applyFont="1" applyFill="1" applyBorder="1" applyAlignment="1" applyProtection="1">
      <alignment horizontal="center" vertical="center"/>
      <protection locked="0"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Alignment="1" applyProtection="1">
      <alignment vertical="center"/>
      <protection locked="0"/>
    </xf>
    <xf numFmtId="0" fontId="32" fillId="0" borderId="21" xfId="0" applyNumberFormat="1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Border="1" applyAlignment="1" applyProtection="1">
      <alignment horizontal="center" vertical="center"/>
      <protection locked="0"/>
    </xf>
    <xf numFmtId="0" fontId="32" fillId="49" borderId="0" xfId="0" applyFont="1" applyFill="1" applyBorder="1" applyAlignment="1" applyProtection="1">
      <alignment horizontal="center" vertical="center"/>
      <protection locked="0"/>
    </xf>
    <xf numFmtId="0" fontId="32" fillId="48" borderId="0" xfId="0" applyFont="1" applyFill="1" applyBorder="1" applyAlignment="1" applyProtection="1">
      <alignment horizontal="left" vertical="center"/>
      <protection locked="0"/>
    </xf>
    <xf numFmtId="0" fontId="32" fillId="49" borderId="0" xfId="0" applyFont="1" applyFill="1" applyBorder="1" applyAlignment="1" applyProtection="1">
      <alignment horizontal="left" vertical="center"/>
      <protection locked="0"/>
    </xf>
    <xf numFmtId="0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35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22" xfId="0" applyNumberFormat="1" applyFont="1" applyFill="1" applyBorder="1" applyAlignment="1" applyProtection="1">
      <alignment horizontal="left" vertical="center"/>
      <protection/>
    </xf>
    <xf numFmtId="0" fontId="31" fillId="0" borderId="23" xfId="0" applyNumberFormat="1" applyFont="1" applyFill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 applyProtection="1">
      <alignment horizontal="left" vertical="center"/>
      <protection locked="0"/>
    </xf>
    <xf numFmtId="0" fontId="32" fillId="2" borderId="18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 vertical="center"/>
      <protection locked="0"/>
    </xf>
    <xf numFmtId="0" fontId="18" fillId="2" borderId="18" xfId="0" applyNumberFormat="1" applyFont="1" applyFill="1" applyBorder="1" applyAlignment="1" applyProtection="1">
      <alignment horizontal="center" vertical="center"/>
      <protection locked="0"/>
    </xf>
    <xf numFmtId="0" fontId="18" fillId="2" borderId="18" xfId="0" applyNumberFormat="1" applyFont="1" applyFill="1" applyBorder="1" applyAlignment="1" applyProtection="1">
      <alignment horizontal="center" vertical="center"/>
      <protection/>
    </xf>
    <xf numFmtId="0" fontId="35" fillId="2" borderId="18" xfId="0" applyNumberFormat="1" applyFont="1" applyFill="1" applyBorder="1" applyAlignment="1" applyProtection="1">
      <alignment horizontal="left" vertical="center"/>
      <protection/>
    </xf>
    <xf numFmtId="0" fontId="18" fillId="2" borderId="19" xfId="0" applyNumberFormat="1" applyFont="1" applyFill="1" applyBorder="1" applyAlignment="1" applyProtection="1">
      <alignment horizontal="left" vertical="center"/>
      <protection/>
    </xf>
    <xf numFmtId="0" fontId="32" fillId="2" borderId="21" xfId="0" applyNumberFormat="1" applyFont="1" applyFill="1" applyBorder="1" applyAlignment="1" applyProtection="1">
      <alignment horizontal="center" vertical="center"/>
      <protection locked="0"/>
    </xf>
    <xf numFmtId="0" fontId="18" fillId="2" borderId="21" xfId="0" applyNumberFormat="1" applyFont="1" applyFill="1" applyBorder="1" applyAlignment="1" applyProtection="1">
      <alignment horizontal="center" vertical="center"/>
      <protection locked="0"/>
    </xf>
    <xf numFmtId="0" fontId="18" fillId="2" borderId="21" xfId="0" applyNumberFormat="1" applyFont="1" applyFill="1" applyBorder="1" applyAlignment="1" applyProtection="1">
      <alignment horizontal="center" vertical="center"/>
      <protection/>
    </xf>
    <xf numFmtId="0" fontId="35" fillId="2" borderId="21" xfId="0" applyNumberFormat="1" applyFont="1" applyFill="1" applyBorder="1" applyAlignment="1" applyProtection="1">
      <alignment horizontal="left" vertical="center"/>
      <protection/>
    </xf>
    <xf numFmtId="0" fontId="18" fillId="2" borderId="22" xfId="0" applyNumberFormat="1" applyFont="1" applyFill="1" applyBorder="1" applyAlignment="1" applyProtection="1">
      <alignment horizontal="left" vertical="center"/>
      <protection/>
    </xf>
    <xf numFmtId="0" fontId="18" fillId="0" borderId="24" xfId="0" applyNumberFormat="1" applyFont="1" applyFill="1" applyBorder="1" applyAlignment="1" applyProtection="1">
      <alignment horizontal="left" vertical="center"/>
      <protection locked="0"/>
    </xf>
    <xf numFmtId="0" fontId="31" fillId="13" borderId="21" xfId="0" applyNumberFormat="1" applyFont="1" applyFill="1" applyBorder="1" applyAlignment="1" applyProtection="1">
      <alignment horizontal="center" vertical="center"/>
      <protection locked="0"/>
    </xf>
    <xf numFmtId="0" fontId="31" fillId="13" borderId="25" xfId="0" applyNumberFormat="1" applyFont="1" applyFill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 applyProtection="1">
      <alignment horizontal="center" vertical="center"/>
      <protection locked="0"/>
    </xf>
    <xf numFmtId="0" fontId="32" fillId="49" borderId="0" xfId="0" applyFont="1" applyFill="1" applyBorder="1" applyAlignment="1" applyProtection="1" quotePrefix="1">
      <alignment horizontal="center" vertical="center"/>
      <protection locked="0"/>
    </xf>
    <xf numFmtId="0" fontId="22" fillId="0" borderId="25" xfId="0" applyNumberFormat="1" applyFont="1" applyFill="1" applyBorder="1" applyAlignment="1" applyProtection="1">
      <alignment vertical="center"/>
      <protection locked="0"/>
    </xf>
    <xf numFmtId="0" fontId="18" fillId="0" borderId="24" xfId="0" applyNumberFormat="1" applyFont="1" applyFill="1" applyBorder="1" applyAlignment="1" applyProtection="1">
      <alignment horizontal="center" vertical="center"/>
      <protection locked="0"/>
    </xf>
    <xf numFmtId="0" fontId="18" fillId="0" borderId="18" xfId="0" applyNumberFormat="1" applyFont="1" applyFill="1" applyBorder="1" applyAlignment="1" applyProtection="1">
      <alignment horizontal="left" vertical="center"/>
      <protection locked="0"/>
    </xf>
    <xf numFmtId="0" fontId="18" fillId="2" borderId="21" xfId="0" applyNumberFormat="1" applyFont="1" applyFill="1" applyBorder="1" applyAlignment="1" applyProtection="1" quotePrefix="1">
      <alignment horizontal="center" vertical="center"/>
      <protection locked="0"/>
    </xf>
    <xf numFmtId="0" fontId="18" fillId="5" borderId="22" xfId="0" applyNumberFormat="1" applyFont="1" applyFill="1" applyBorder="1" applyAlignment="1" applyProtection="1" quotePrefix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horizontal="left" vertical="center"/>
      <protection/>
    </xf>
    <xf numFmtId="0" fontId="33" fillId="0" borderId="24" xfId="0" applyNumberFormat="1" applyFont="1" applyFill="1" applyBorder="1" applyAlignment="1" applyProtection="1">
      <alignment horizontal="left" vertical="center"/>
      <protection/>
    </xf>
    <xf numFmtId="0" fontId="18" fillId="5" borderId="2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24" xfId="0" applyNumberFormat="1" applyFont="1" applyFill="1" applyBorder="1" applyAlignment="1" applyProtection="1">
      <alignment horizontal="left" vertical="center"/>
      <protection/>
    </xf>
    <xf numFmtId="0" fontId="31" fillId="0" borderId="25" xfId="0" applyNumberFormat="1" applyFont="1" applyFill="1" applyBorder="1" applyAlignment="1" applyProtection="1">
      <alignment horizontal="center" vertical="center"/>
      <protection locked="0"/>
    </xf>
    <xf numFmtId="0" fontId="18" fillId="0" borderId="22" xfId="0" applyNumberFormat="1" applyFont="1" applyFill="1" applyBorder="1" applyAlignment="1" applyProtection="1">
      <alignment horizontal="center" vertical="center"/>
      <protection/>
    </xf>
    <xf numFmtId="0" fontId="33" fillId="2" borderId="21" xfId="0" applyNumberFormat="1" applyFont="1" applyFill="1" applyBorder="1" applyAlignment="1" applyProtection="1">
      <alignment horizontal="center" vertical="center"/>
      <protection locked="0"/>
    </xf>
    <xf numFmtId="0" fontId="33" fillId="2" borderId="21" xfId="0" applyNumberFormat="1" applyFont="1" applyFill="1" applyBorder="1" applyAlignment="1" applyProtection="1">
      <alignment horizontal="center" vertical="center"/>
      <protection/>
    </xf>
    <xf numFmtId="0" fontId="34" fillId="2" borderId="21" xfId="0" applyNumberFormat="1" applyFont="1" applyFill="1" applyBorder="1" applyAlignment="1" applyProtection="1">
      <alignment horizontal="left" vertical="center"/>
      <protection/>
    </xf>
    <xf numFmtId="0" fontId="33" fillId="2" borderId="22" xfId="0" applyNumberFormat="1" applyFont="1" applyFill="1" applyBorder="1" applyAlignment="1" applyProtection="1">
      <alignment horizontal="left" vertical="center"/>
      <protection/>
    </xf>
    <xf numFmtId="0" fontId="31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Alignment="1" applyProtection="1" quotePrefix="1">
      <alignment vertical="center"/>
      <protection locked="0"/>
    </xf>
    <xf numFmtId="0" fontId="33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36" fillId="0" borderId="0" xfId="0" applyNumberFormat="1" applyFont="1" applyFill="1" applyAlignment="1" applyProtection="1">
      <alignment vertical="center"/>
      <protection locked="0"/>
    </xf>
    <xf numFmtId="0" fontId="36" fillId="0" borderId="0" xfId="0" applyNumberFormat="1" applyFont="1" applyFill="1" applyAlignment="1" applyProtection="1">
      <alignment horizontal="center" vertical="center"/>
      <protection locked="0"/>
    </xf>
    <xf numFmtId="0" fontId="36" fillId="0" borderId="0" xfId="0" applyNumberFormat="1" applyFont="1" applyFill="1" applyAlignment="1" applyProtection="1">
      <alignment horizontal="left" vertical="center"/>
      <protection locked="0"/>
    </xf>
    <xf numFmtId="0" fontId="37" fillId="0" borderId="0" xfId="0" applyNumberFormat="1" applyFont="1" applyFill="1" applyBorder="1" applyAlignment="1" applyProtection="1">
      <alignment horizontal="left" vertical="center"/>
      <protection locked="0"/>
    </xf>
    <xf numFmtId="0" fontId="38" fillId="0" borderId="0" xfId="0" applyNumberFormat="1" applyFont="1" applyFill="1" applyBorder="1" applyAlignment="1" applyProtection="1">
      <alignment horizontal="centerContinuous" vertical="center"/>
      <protection locked="0"/>
    </xf>
    <xf numFmtId="0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NumberFormat="1" applyFont="1" applyFill="1" applyAlignment="1" applyProtection="1">
      <alignment vertical="center"/>
      <protection locked="0"/>
    </xf>
    <xf numFmtId="0" fontId="36" fillId="0" borderId="0" xfId="0" applyNumberFormat="1" applyFont="1" applyFill="1" applyBorder="1" applyAlignment="1" applyProtection="1">
      <alignment vertical="center"/>
      <protection locked="0"/>
    </xf>
    <xf numFmtId="0" fontId="39" fillId="0" borderId="0" xfId="0" applyNumberFormat="1" applyFont="1" applyFill="1" applyBorder="1" applyAlignment="1" applyProtection="1">
      <alignment vertical="center"/>
      <protection locked="0"/>
    </xf>
    <xf numFmtId="0" fontId="36" fillId="0" borderId="0" xfId="0" applyNumberFormat="1" applyFont="1" applyFill="1" applyBorder="1" applyAlignment="1" applyProtection="1" quotePrefix="1">
      <alignment vertical="center"/>
      <protection locked="0"/>
    </xf>
    <xf numFmtId="0" fontId="40" fillId="0" borderId="0" xfId="0" applyNumberFormat="1" applyFont="1" applyFill="1" applyBorder="1" applyAlignment="1" applyProtection="1">
      <alignment vertical="center"/>
      <protection locked="0"/>
    </xf>
    <xf numFmtId="0" fontId="41" fillId="0" borderId="0" xfId="0" applyNumberFormat="1" applyFont="1" applyFill="1" applyBorder="1" applyAlignment="1" applyProtection="1">
      <alignment horizontal="left" vertical="center"/>
      <protection locked="0"/>
    </xf>
    <xf numFmtId="0" fontId="42" fillId="0" borderId="0" xfId="0" applyNumberFormat="1" applyFont="1" applyFill="1" applyAlignment="1" applyProtection="1">
      <alignment vertical="center"/>
      <protection locked="0"/>
    </xf>
    <xf numFmtId="0" fontId="43" fillId="0" borderId="0" xfId="0" applyNumberFormat="1" applyFont="1" applyFill="1" applyBorder="1" applyAlignment="1" applyProtection="1">
      <alignment horizontal="left" vertical="center"/>
      <protection/>
    </xf>
    <xf numFmtId="0" fontId="44" fillId="0" borderId="0" xfId="0" applyNumberFormat="1" applyFont="1" applyFill="1" applyBorder="1" applyAlignment="1" applyProtection="1" quotePrefix="1">
      <alignment vertical="center"/>
      <protection/>
    </xf>
    <xf numFmtId="0" fontId="45" fillId="0" borderId="0" xfId="0" applyFont="1" applyBorder="1" applyAlignment="1" applyProtection="1">
      <alignment vertical="center"/>
      <protection locked="0"/>
    </xf>
    <xf numFmtId="0" fontId="35" fillId="0" borderId="0" xfId="0" applyFont="1" applyBorder="1" applyAlignment="1" applyProtection="1">
      <alignment vertical="center"/>
      <protection locked="0"/>
    </xf>
    <xf numFmtId="0" fontId="38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NumberFormat="1" applyFont="1" applyFill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 quotePrefix="1">
      <alignment horizontal="left" vertical="center"/>
      <protection locked="0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Φοίβ" xfId="69"/>
    <cellStyle name="Note" xfId="70"/>
    <cellStyle name="Output" xfId="71"/>
    <cellStyle name="Title" xfId="72"/>
    <cellStyle name="Total" xfId="73"/>
    <cellStyle name="Warning Text" xfId="74"/>
    <cellStyle name="Εισαγωγή" xfId="75"/>
    <cellStyle name="Έλεγχος κελιού" xfId="76"/>
    <cellStyle name="Έμφαση1" xfId="77"/>
    <cellStyle name="Έμφαση2" xfId="78"/>
    <cellStyle name="Έμφαση3" xfId="79"/>
    <cellStyle name="Έμφαση4" xfId="80"/>
    <cellStyle name="Έμφαση5" xfId="81"/>
    <cellStyle name="Έμφαση6" xfId="82"/>
    <cellStyle name="Έξοδος" xfId="83"/>
    <cellStyle name="Επεξηγηματικό κείμενο" xfId="84"/>
    <cellStyle name="Επικεφαλίδα 1" xfId="85"/>
    <cellStyle name="Επικεφαλίδα 2" xfId="86"/>
    <cellStyle name="Επικεφαλίδα 3" xfId="87"/>
    <cellStyle name="Επικεφαλίδα 4" xfId="88"/>
    <cellStyle name="Κακό" xfId="89"/>
    <cellStyle name="Καλό" xfId="90"/>
    <cellStyle name="Comma" xfId="91"/>
    <cellStyle name="Comma [0]" xfId="92"/>
    <cellStyle name="Currency" xfId="93"/>
    <cellStyle name="Currency [0]" xfId="94"/>
    <cellStyle name="Ουδέτερο" xfId="95"/>
    <cellStyle name="Percent" xfId="96"/>
    <cellStyle name="Προειδοποιητικό κείμενο" xfId="97"/>
    <cellStyle name="Σημείωση" xfId="98"/>
    <cellStyle name="Συνδεδεμένο κελί" xfId="99"/>
    <cellStyle name="Σύνολο" xfId="100"/>
    <cellStyle name="Τίτλος" xfId="101"/>
    <cellStyle name="Υπολογισμός" xfId="102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vros%20nikiforakis\&#932;&#945;%20&#941;&#947;&#947;&#961;&#945;&#966;&#940;%20&#956;&#959;&#965;\Downloads\&#960;&#945;&#957;&#949;&#955;&#955;&#945;&#948;&#953;&#954;&#959;\&#917;2-3%20&#919;&#929;&#913;%20A16%20S%20(16)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DrawPrep"/>
      <sheetName val="Draw"/>
      <sheetName val="PrgPrep"/>
      <sheetName val="Day1"/>
      <sheetName val="Day2"/>
      <sheetName val="notes"/>
      <sheetName val="tmp"/>
      <sheetName val="tmpRankings"/>
    </sheetNames>
    <definedNames>
      <definedName name="Sheet2pdf"/>
    </definedNames>
    <sheetDataSet>
      <sheetData sheetId="0">
        <row r="2">
          <cell r="E2">
            <v>3</v>
          </cell>
        </row>
        <row r="3">
          <cell r="B3" t="str">
            <v>ΕΦΟΑ &amp; Γ'</v>
          </cell>
          <cell r="E3">
            <v>4</v>
          </cell>
        </row>
        <row r="4">
          <cell r="B4" t="str">
            <v>3ο Ε2</v>
          </cell>
        </row>
        <row r="6">
          <cell r="B6" t="str">
            <v>ΗΡΑΚΛΕΙΟ ΟΑ &amp; Α</v>
          </cell>
        </row>
        <row r="7">
          <cell r="B7" t="str">
            <v>Α16</v>
          </cell>
        </row>
        <row r="8">
          <cell r="B8" t="str">
            <v>16</v>
          </cell>
        </row>
        <row r="9">
          <cell r="B9" t="str">
            <v>20 Ιουνίου</v>
          </cell>
        </row>
        <row r="10">
          <cell r="B10" t="str">
            <v>Πατσουράκου Ντ</v>
          </cell>
        </row>
        <row r="12">
          <cell r="G12">
            <v>0</v>
          </cell>
          <cell r="H12">
            <v>0</v>
          </cell>
        </row>
        <row r="13">
          <cell r="G13">
            <v>1</v>
          </cell>
          <cell r="H13">
            <v>1</v>
          </cell>
        </row>
        <row r="14">
          <cell r="G14">
            <v>2</v>
          </cell>
          <cell r="H14">
            <v>2</v>
          </cell>
        </row>
        <row r="15">
          <cell r="G15">
            <v>3</v>
          </cell>
          <cell r="H15">
            <v>3</v>
          </cell>
        </row>
        <row r="16">
          <cell r="G16">
            <v>4</v>
          </cell>
          <cell r="H16">
            <v>4</v>
          </cell>
        </row>
        <row r="17">
          <cell r="G17">
            <v>5</v>
          </cell>
          <cell r="H17">
            <v>14</v>
          </cell>
        </row>
        <row r="18">
          <cell r="B18">
            <v>1</v>
          </cell>
          <cell r="G18">
            <v>6</v>
          </cell>
          <cell r="H18">
            <v>11</v>
          </cell>
        </row>
        <row r="19">
          <cell r="B19">
            <v>4</v>
          </cell>
          <cell r="G19">
            <v>7</v>
          </cell>
          <cell r="H19">
            <v>6</v>
          </cell>
        </row>
        <row r="20">
          <cell r="G20">
            <v>8</v>
          </cell>
          <cell r="H20">
            <v>12</v>
          </cell>
        </row>
        <row r="21">
          <cell r="G21">
            <v>9</v>
          </cell>
          <cell r="H21">
            <v>10</v>
          </cell>
        </row>
        <row r="22">
          <cell r="G22">
            <v>10</v>
          </cell>
          <cell r="H22">
            <v>8</v>
          </cell>
        </row>
        <row r="23">
          <cell r="G23">
            <v>11</v>
          </cell>
          <cell r="H23">
            <v>15</v>
          </cell>
        </row>
        <row r="24">
          <cell r="B24" t="str">
            <v>ok</v>
          </cell>
          <cell r="G24">
            <v>12</v>
          </cell>
          <cell r="H24">
            <v>13</v>
          </cell>
        </row>
        <row r="25">
          <cell r="G25">
            <v>13</v>
          </cell>
          <cell r="H25">
            <v>7</v>
          </cell>
        </row>
        <row r="26">
          <cell r="G26">
            <v>14</v>
          </cell>
          <cell r="H26">
            <v>9</v>
          </cell>
        </row>
        <row r="27">
          <cell r="G27">
            <v>15</v>
          </cell>
          <cell r="H27">
            <v>5</v>
          </cell>
        </row>
      </sheetData>
      <sheetData sheetId="1">
        <row r="3">
          <cell r="A3">
            <v>1</v>
          </cell>
          <cell r="C3">
            <v>23042</v>
          </cell>
          <cell r="D3" t="str">
            <v>ΣΚΑΛΙΔΑΚΗΣ ΔΗΜΗΤΡΙΟΣ</v>
          </cell>
          <cell r="E3" t="str">
            <v>Ο.Α.ΣΟΥΔΑΣ</v>
          </cell>
          <cell r="F3">
            <v>404</v>
          </cell>
          <cell r="G3">
            <v>6977567209</v>
          </cell>
        </row>
        <row r="4">
          <cell r="A4">
            <v>2</v>
          </cell>
          <cell r="C4">
            <v>25914</v>
          </cell>
          <cell r="D4" t="str">
            <v>ΑΛΕΒΙΖΟΠΟΥΛΟΣ ΦΙΛΙΠΠΟΣ</v>
          </cell>
          <cell r="E4" t="str">
            <v>Ο.Α.ΓΛΥΦΑΔΑΣ</v>
          </cell>
          <cell r="F4">
            <v>152</v>
          </cell>
          <cell r="G4">
            <v>2108982893</v>
          </cell>
        </row>
        <row r="5">
          <cell r="A5">
            <v>3</v>
          </cell>
          <cell r="C5">
            <v>24511</v>
          </cell>
          <cell r="D5" t="str">
            <v>ΙΩΑΝΝΙΔΗΣ ΝΙΚΟΛΑΟΣ</v>
          </cell>
          <cell r="E5" t="str">
            <v>Α.Ο.Α.ΦΙΛΟΘΕΗΣ</v>
          </cell>
          <cell r="F5">
            <v>120</v>
          </cell>
          <cell r="G5">
            <v>6977207192</v>
          </cell>
        </row>
        <row r="6">
          <cell r="A6">
            <v>4</v>
          </cell>
          <cell r="C6">
            <v>24168</v>
          </cell>
          <cell r="D6" t="str">
            <v>ΜΙΧΑΗΛΟΣ ΣΤΕΦΑΝΟΣ</v>
          </cell>
          <cell r="E6" t="str">
            <v>ΗΡΑΚΛΕΙΟ Ο.Α.&amp; Α.</v>
          </cell>
          <cell r="F6">
            <v>116</v>
          </cell>
          <cell r="G6">
            <v>6944145592</v>
          </cell>
        </row>
        <row r="7">
          <cell r="A7">
            <v>5</v>
          </cell>
          <cell r="C7">
            <v>24165</v>
          </cell>
          <cell r="D7" t="str">
            <v>ΠΕΡΔΙΚΟΓΙΑΝΝΗΣ ΣΤΥΛΙΑΝΟΣ</v>
          </cell>
          <cell r="E7" t="str">
            <v>ΗΡΑΚΛΕΙΟ Ο.Α.&amp; Α.</v>
          </cell>
          <cell r="F7">
            <v>110</v>
          </cell>
          <cell r="G7">
            <v>6973533055</v>
          </cell>
        </row>
        <row r="8">
          <cell r="A8">
            <v>6</v>
          </cell>
          <cell r="C8">
            <v>33453</v>
          </cell>
          <cell r="D8" t="str">
            <v>ΣΤΑΥΡΟΠΟΥΛΟΣ ΜΑΡΙΟΣ-ΦΩΤΙΟΣ</v>
          </cell>
          <cell r="E8" t="str">
            <v>Α.Ο.Α.ΦΙΛΟΘΕΗΣ</v>
          </cell>
          <cell r="F8">
            <v>36</v>
          </cell>
          <cell r="G8">
            <v>6944634563</v>
          </cell>
        </row>
        <row r="9">
          <cell r="A9">
            <v>7</v>
          </cell>
          <cell r="C9">
            <v>30190</v>
          </cell>
          <cell r="D9" t="str">
            <v>ΜΑΤΣΟΥΚΑΣ ΙΩΑΝΝΗΣ</v>
          </cell>
          <cell r="E9" t="str">
            <v>Ο.Α.ΧΑΛΚΙΔΑΣ</v>
          </cell>
          <cell r="F9">
            <v>25</v>
          </cell>
          <cell r="G9">
            <v>6936959714</v>
          </cell>
        </row>
        <row r="10">
          <cell r="A10">
            <v>8</v>
          </cell>
          <cell r="C10">
            <v>26385</v>
          </cell>
          <cell r="D10" t="str">
            <v>ΒΟΥΛΓΑΡΑΚΗΣ ΕΛΕΥΘΕΡΙΟΣ</v>
          </cell>
          <cell r="E10" t="str">
            <v>Ο.Α.ΣΟΥΔΑΣ</v>
          </cell>
          <cell r="F10">
            <v>20</v>
          </cell>
          <cell r="G10">
            <v>6979798473</v>
          </cell>
        </row>
        <row r="11">
          <cell r="A11">
            <v>9</v>
          </cell>
          <cell r="C11">
            <v>29651</v>
          </cell>
          <cell r="D11" t="str">
            <v>ΝΙΚΟΛΑΚΑΚΗΣ ΙΩΑΝΝΗΣ</v>
          </cell>
          <cell r="E11" t="str">
            <v>ΗΡΑΚΛΕΙΟ Ο.Α.&amp; Α.</v>
          </cell>
          <cell r="F11">
            <v>16</v>
          </cell>
          <cell r="G11">
            <v>6947838143</v>
          </cell>
        </row>
        <row r="12">
          <cell r="A12">
            <v>10</v>
          </cell>
          <cell r="C12">
            <v>29081</v>
          </cell>
          <cell r="D12" t="str">
            <v>ΣΤΥΛΙΑΝΟΥΔΑΚΗΣ ΕΥΑΓΓΕΛΟΣ</v>
          </cell>
          <cell r="E12" t="str">
            <v>Γ.Ο.ΠΕΡΙΣΤΕΡΙΟΥ Γ.ΠΑΛΑΣΚΑΣ</v>
          </cell>
          <cell r="F12">
            <v>14</v>
          </cell>
          <cell r="G12">
            <v>6974428546</v>
          </cell>
        </row>
        <row r="13">
          <cell r="A13">
            <v>11</v>
          </cell>
          <cell r="C13">
            <v>24470</v>
          </cell>
          <cell r="D13" t="str">
            <v>ΚΟΚΚΙΝΑΚΗΣ ΙΩΑΝΝΗΣ-ΜΑΡΙΟΣ</v>
          </cell>
          <cell r="E13" t="str">
            <v>Ο.Α.ΣΟΥΔΑΣ</v>
          </cell>
          <cell r="F13">
            <v>6</v>
          </cell>
          <cell r="G13">
            <v>6947695052</v>
          </cell>
        </row>
        <row r="14">
          <cell r="A14">
            <v>12</v>
          </cell>
          <cell r="C14">
            <v>24772</v>
          </cell>
          <cell r="D14" t="str">
            <v>ΜΑΡΚΟΓΙΑΝΝΑΚΗΣ ΚΩΝΣΤΑΝΤΙΝΟΣ</v>
          </cell>
          <cell r="E14" t="str">
            <v>Ο.Α.ΡΕΘΥΜΝΟΥ</v>
          </cell>
          <cell r="F14">
            <v>6</v>
          </cell>
          <cell r="G14">
            <v>6979648012</v>
          </cell>
        </row>
        <row r="15">
          <cell r="A15">
            <v>13</v>
          </cell>
          <cell r="C15">
            <v>23408</v>
          </cell>
          <cell r="D15" t="str">
            <v>ΜΙΜΙΝΗΣ ΙΩΑΝΝΗΣ</v>
          </cell>
          <cell r="E15" t="str">
            <v>Ο.Α.ΡΕΘΥΜΝΟΥ</v>
          </cell>
          <cell r="F15">
            <v>6</v>
          </cell>
          <cell r="G15">
            <v>6944206892</v>
          </cell>
        </row>
        <row r="16">
          <cell r="A16">
            <v>14</v>
          </cell>
          <cell r="C16">
            <v>31171</v>
          </cell>
          <cell r="D16" t="str">
            <v>ΔΗΜΗΤΡΑΚΗΣ ΙΩΑΝΝΗΣ</v>
          </cell>
          <cell r="E16" t="str">
            <v>ΡΟΔΙΑΚΗ ΑΚΑΔ.ΑΝΤΙΣΦ.</v>
          </cell>
          <cell r="F16">
            <v>4</v>
          </cell>
          <cell r="G16">
            <v>6947630098</v>
          </cell>
        </row>
        <row r="17">
          <cell r="A17">
            <v>15</v>
          </cell>
          <cell r="C17">
            <v>27236</v>
          </cell>
          <cell r="D17" t="str">
            <v>ΚΑΤΣΑΓΚΟΛΗΣ ΑΣΤΕΡΙΟΣ</v>
          </cell>
          <cell r="E17" t="str">
            <v>Γ.Σ.ΛΙΒΥΚΟΣ ΙΕΡΑΠΕΤΡΑΣ</v>
          </cell>
          <cell r="F17">
            <v>6</v>
          </cell>
        </row>
        <row r="18">
          <cell r="A18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48"/>
  <sheetViews>
    <sheetView showGridLines="0" showZeros="0" tabSelected="1"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R14" sqref="R14"/>
    </sheetView>
  </sheetViews>
  <sheetFormatPr defaultColWidth="5.140625" defaultRowHeight="12.75"/>
  <cols>
    <col min="1" max="1" width="2.421875" style="8" bestFit="1" customWidth="1"/>
    <col min="2" max="2" width="2.421875" style="8" hidden="1" customWidth="1"/>
    <col min="3" max="3" width="6.00390625" style="11" hidden="1" customWidth="1"/>
    <col min="4" max="4" width="5.28125" style="12" hidden="1" customWidth="1"/>
    <col min="5" max="5" width="4.7109375" style="12" hidden="1" customWidth="1"/>
    <col min="6" max="6" width="3.00390625" style="8" hidden="1" customWidth="1"/>
    <col min="7" max="7" width="3.421875" style="11" bestFit="1" customWidth="1"/>
    <col min="8" max="8" width="3.28125" style="11" bestFit="1" customWidth="1"/>
    <col min="9" max="9" width="5.421875" style="13" customWidth="1"/>
    <col min="10" max="10" width="33.140625" style="8" customWidth="1"/>
    <col min="11" max="11" width="20.57421875" style="8" hidden="1" customWidth="1"/>
    <col min="12" max="12" width="23.140625" style="8" bestFit="1" customWidth="1"/>
    <col min="13" max="13" width="1.57421875" style="90" bestFit="1" customWidth="1"/>
    <col min="14" max="14" width="14.140625" style="8" bestFit="1" customWidth="1"/>
    <col min="15" max="15" width="1.57421875" style="41" bestFit="1" customWidth="1"/>
    <col min="16" max="16" width="14.140625" style="8" bestFit="1" customWidth="1"/>
    <col min="17" max="17" width="1.57421875" style="41" bestFit="1" customWidth="1"/>
    <col min="18" max="18" width="14.140625" style="93" bestFit="1" customWidth="1"/>
    <col min="19" max="19" width="0.85546875" style="39" customWidth="1"/>
    <col min="20" max="16384" width="5.140625" style="8" customWidth="1"/>
  </cols>
  <sheetData>
    <row r="1" spans="1:19" s="4" customFormat="1" ht="16.5">
      <c r="A1" s="113" t="str">
        <f>'[1]Setup'!B3&amp;", "&amp;'[1]Setup'!B4&amp;", "&amp;'[1]Setup'!B6&amp;", "&amp;'[1]Setup'!B8&amp;"-"&amp;'[1]Setup'!B9</f>
        <v>ΕΦΟΑ &amp; Γ', 3ο Ε2, ΗΡΑΚΛΕΙΟ ΟΑ &amp; Α, 16-20 Ιουνίου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"/>
      <c r="R1" s="2" t="str">
        <f>'[1]Setup'!B7</f>
        <v>Α16</v>
      </c>
      <c r="S1" s="3"/>
    </row>
    <row r="2" spans="1:19" ht="11.25">
      <c r="A2" s="5"/>
      <c r="B2" s="6">
        <f>'[1]Setup'!$B$18</f>
        <v>1</v>
      </c>
      <c r="C2" s="6"/>
      <c r="D2" s="7"/>
      <c r="E2" s="7"/>
      <c r="G2" s="9"/>
      <c r="H2" s="9"/>
      <c r="I2" s="9" t="s">
        <v>0</v>
      </c>
      <c r="J2" s="9"/>
      <c r="K2" s="9"/>
      <c r="L2" s="9"/>
      <c r="M2" s="9"/>
      <c r="N2" s="9" t="s">
        <v>1</v>
      </c>
      <c r="O2" s="9"/>
      <c r="P2" s="9" t="s">
        <v>2</v>
      </c>
      <c r="Q2" s="9"/>
      <c r="R2" s="9" t="s">
        <v>3</v>
      </c>
      <c r="S2" s="10"/>
    </row>
    <row r="3" spans="10:19" ht="11.25">
      <c r="J3" s="112">
        <v>16</v>
      </c>
      <c r="K3" s="112"/>
      <c r="L3" s="112"/>
      <c r="M3" s="15"/>
      <c r="N3" s="14">
        <v>8</v>
      </c>
      <c r="O3" s="16"/>
      <c r="P3" s="14">
        <v>4</v>
      </c>
      <c r="Q3" s="16"/>
      <c r="R3" s="17">
        <v>2</v>
      </c>
      <c r="S3" s="18"/>
    </row>
    <row r="4" spans="1:19" s="11" customFormat="1" ht="11.25">
      <c r="A4" s="19" t="s">
        <v>4</v>
      </c>
      <c r="B4" s="20"/>
      <c r="C4" s="21" t="s">
        <v>5</v>
      </c>
      <c r="D4" s="21" t="s">
        <v>6</v>
      </c>
      <c r="E4" s="21" t="s">
        <v>7</v>
      </c>
      <c r="F4" s="19" t="s">
        <v>8</v>
      </c>
      <c r="G4" s="19" t="s">
        <v>9</v>
      </c>
      <c r="H4" s="19" t="s">
        <v>10</v>
      </c>
      <c r="I4" s="19" t="s">
        <v>11</v>
      </c>
      <c r="J4" s="22" t="s">
        <v>12</v>
      </c>
      <c r="K4" s="21" t="s">
        <v>13</v>
      </c>
      <c r="L4" s="22" t="s">
        <v>14</v>
      </c>
      <c r="M4" s="23"/>
      <c r="O4" s="24"/>
      <c r="Q4" s="24"/>
      <c r="R4" s="25"/>
      <c r="S4" s="6"/>
    </row>
    <row r="5" spans="1:18" ht="12" customHeight="1">
      <c r="A5" s="26">
        <v>1</v>
      </c>
      <c r="B5" s="27">
        <v>1</v>
      </c>
      <c r="C5" s="28"/>
      <c r="D5" s="29"/>
      <c r="E5" s="30">
        <v>0</v>
      </c>
      <c r="F5" s="31">
        <f>IF(NOT($G5="-"),VLOOKUP($G5,'[1]DrawPrep'!$A$3:$G$18,2,FALSE),"")</f>
        <v>0</v>
      </c>
      <c r="G5" s="32">
        <f>VLOOKUP($B5,'[1]Setup'!$G$12:$H$27,2,FALSE)</f>
        <v>1</v>
      </c>
      <c r="H5" s="33">
        <f>IF($G5&gt;0,VLOOKUP($G5,'[1]DrawPrep'!$A$3:$G$18,6,FALSE),0)</f>
        <v>404</v>
      </c>
      <c r="I5" s="34">
        <f>IF('[1]Setup'!$B$24="#",0,IF($G5&gt;0,VLOOKUP($G5,'[1]DrawPrep'!$A$3:$G$18,3,FALSE),0))</f>
        <v>23042</v>
      </c>
      <c r="J5" s="35" t="str">
        <f>IF($I5&gt;0,VLOOKUP($I5,'[1]DrawPrep'!$C$3:$G$18,2,FALSE),"bye")</f>
        <v>ΣΚΑΛΙΔΑΚΗΣ ΔΗΜΗΤΡΙΟΣ</v>
      </c>
      <c r="K5" s="35" t="str">
        <f aca="true" t="shared" si="0" ref="K5:K20">IF(NOT(I5&gt;0),"",IF(ISERROR(FIND("-",J5)),LEFT(J5,FIND(" ",J5)-1),IF(FIND("-",J5)&gt;FIND(" ",J5),LEFT(J5,FIND(" ",J5)-1),LEFT(J5,FIND("-",J5)-1))))</f>
        <v>ΣΚΑΛΙΔΑΚΗΣ</v>
      </c>
      <c r="L5" s="36" t="str">
        <f>IF($I5&gt;0,VLOOKUP($I5,'[1]DrawPrep'!$C$3:$G$18,3,FALSE),"")</f>
        <v>Ο.Α.ΣΟΥΔΑΣ</v>
      </c>
      <c r="M5" s="37">
        <v>1</v>
      </c>
      <c r="N5" s="38" t="str">
        <f>UPPER(IF($A$2="R",IF(OR(M5=1,M5="a"),I5,IF(OR(M5=2,M5="b"),I6,"")),IF(OR(M5=1,M5="1"),K5,IF(OR(M5=2,M5="b"),K6,""))))</f>
        <v>ΣΚΑΛΙΔΑΚΗΣ</v>
      </c>
      <c r="O5" s="39"/>
      <c r="P5" s="40"/>
      <c r="R5" s="40"/>
    </row>
    <row r="6" spans="1:18" ht="12" customHeight="1">
      <c r="A6" s="42">
        <v>2</v>
      </c>
      <c r="B6" s="43">
        <f>1-D6+4</f>
        <v>4</v>
      </c>
      <c r="C6" s="44">
        <v>1</v>
      </c>
      <c r="D6" s="45">
        <f>E6</f>
        <v>1</v>
      </c>
      <c r="E6" s="46">
        <f>IF($B$2&gt;=C6,1,0)</f>
        <v>1</v>
      </c>
      <c r="F6" s="47">
        <f>IF(NOT($G6="-"),VLOOKUP($G6,'[1]DrawPrep'!$A$3:$G$18,2,FALSE),"")</f>
      </c>
      <c r="G6" s="47" t="str">
        <f>IF($B$2&gt;=C6,"-",VLOOKUP($B6,'[1]Setup'!$G$12:$H$27,2,FALSE))</f>
        <v>-</v>
      </c>
      <c r="H6" s="48">
        <f>IF(NOT($G6="-"),VLOOKUP($G6,'[1]DrawPrep'!$A$3:$G$18,6,FALSE),0)</f>
        <v>0</v>
      </c>
      <c r="I6" s="48">
        <f>IF('[1]Setup'!$B$24="#",0,IF(NOT($G6="-"),VLOOKUP($G6,'[1]DrawPrep'!$A$3:$G$18,3,FALSE),0))</f>
        <v>0</v>
      </c>
      <c r="J6" s="49" t="str">
        <f>IF($I6&gt;0,VLOOKUP($I6,'[1]DrawPrep'!$C$3:$G$18,2,FALSE),"bye")</f>
        <v>bye</v>
      </c>
      <c r="K6" s="49">
        <f t="shared" si="0"/>
      </c>
      <c r="L6" s="50">
        <f>IF($I6&gt;0,VLOOKUP($I6,'[1]DrawPrep'!$C$3:$G$18,3,FALSE),"")</f>
      </c>
      <c r="M6" s="51"/>
      <c r="N6" s="52"/>
      <c r="O6" s="37">
        <v>1</v>
      </c>
      <c r="P6" s="38" t="str">
        <f>UPPER(IF($A$2="R",IF(OR(O6=1,O6="a"),N5,IF(OR(O6=2,O6="b"),N7,"")),IF(OR(O6=1,O6="a"),N5,IF(OR(O6=2,O6="b"),N7,""))))</f>
        <v>ΣΚΑΛΙΔΑΚΗΣ</v>
      </c>
      <c r="Q6" s="39"/>
      <c r="R6" s="40"/>
    </row>
    <row r="7" spans="1:18" ht="12" customHeight="1">
      <c r="A7" s="53">
        <v>3</v>
      </c>
      <c r="B7" s="43">
        <f>2-D7+4</f>
        <v>5</v>
      </c>
      <c r="C7" s="54"/>
      <c r="D7" s="45">
        <f aca="true" t="shared" si="1" ref="D7:D20">D6+E7</f>
        <v>1</v>
      </c>
      <c r="E7" s="55">
        <v>0</v>
      </c>
      <c r="F7" s="56">
        <f>IF(NOT($G7="-"),VLOOKUP($G7,'[1]DrawPrep'!$A$3:$G$18,2,FALSE),"")</f>
        <v>0</v>
      </c>
      <c r="G7" s="56">
        <f>VLOOKUP($B7,'[1]Setup'!$G$12:$H$27,2,FALSE)</f>
        <v>14</v>
      </c>
      <c r="H7" s="57">
        <f>IF($G7&gt;0,VLOOKUP($G7,'[1]DrawPrep'!$A$3:$G$18,6,FALSE),0)</f>
        <v>4</v>
      </c>
      <c r="I7" s="57">
        <f>IF('[1]Setup'!$B$24="#",0,IF($G7&gt;0,VLOOKUP($G7,'[1]DrawPrep'!$A$3:$G$18,3,FALSE),0))</f>
        <v>31171</v>
      </c>
      <c r="J7" s="58" t="str">
        <f>IF($I7&gt;0,VLOOKUP($I7,'[1]DrawPrep'!$C$3:$G$18,2,FALSE),"bye")</f>
        <v>ΔΗΜΗΤΡΑΚΗΣ ΙΩΑΝΝΗΣ</v>
      </c>
      <c r="K7" s="58" t="str">
        <f t="shared" si="0"/>
        <v>ΔΗΜΗΤΡΑΚΗΣ</v>
      </c>
      <c r="L7" s="59" t="str">
        <f>IF($I7&gt;0,VLOOKUP($I7,'[1]DrawPrep'!$C$3:$G$18,3,FALSE),"")</f>
        <v>ΡΟΔΙΑΚΗ ΑΚΑΔ.ΑΝΤΙΣΦ.</v>
      </c>
      <c r="M7" s="37">
        <v>2</v>
      </c>
      <c r="N7" s="38" t="str">
        <f>UPPER(IF($A$2="R",IF(OR(M7=1,M7="a"),I7,IF(OR(M7=2,M7="b"),I8,"")),IF(OR(M7=1,M7="a"),K7,IF(OR(M7=2,M7="b"),K8,""))))</f>
        <v>ΚΟΚΚΙΝΑΚΗΣ</v>
      </c>
      <c r="O7" s="51"/>
      <c r="P7" s="52" t="s">
        <v>15</v>
      </c>
      <c r="Q7" s="39"/>
      <c r="R7" s="40"/>
    </row>
    <row r="8" spans="1:18" ht="12" customHeight="1">
      <c r="A8" s="60">
        <v>4</v>
      </c>
      <c r="B8" s="43">
        <f>3-D8+4</f>
        <v>6</v>
      </c>
      <c r="C8" s="44">
        <v>7</v>
      </c>
      <c r="D8" s="45">
        <f t="shared" si="1"/>
        <v>1</v>
      </c>
      <c r="E8" s="46">
        <f>IF($B$2&gt;=C8,1,0)</f>
        <v>0</v>
      </c>
      <c r="F8" s="61">
        <f>IF(NOT($G8="-"),VLOOKUP($G8,'[1]DrawPrep'!$A$3:$G$18,2,FALSE),"")</f>
        <v>0</v>
      </c>
      <c r="G8" s="61">
        <f>IF($B$2&gt;=C8,"-",VLOOKUP($B8,'[1]Setup'!$G$12:$H$27,2,FALSE))</f>
        <v>11</v>
      </c>
      <c r="H8" s="62">
        <f>IF(NOT($G8="-"),VLOOKUP($G8,'[1]DrawPrep'!$A$3:$G$18,6,FALSE),0)</f>
        <v>6</v>
      </c>
      <c r="I8" s="62">
        <f>IF('[1]Setup'!$B$24="#",0,IF(NOT($G8="-"),VLOOKUP($G8,'[1]DrawPrep'!$A$3:$G$18,3,FALSE),0))</f>
        <v>24470</v>
      </c>
      <c r="J8" s="63" t="str">
        <f>IF($I8&gt;0,VLOOKUP($I8,'[1]DrawPrep'!$C$3:$G$18,2,FALSE),"bye")</f>
        <v>ΚΟΚΚΙΝΑΚΗΣ ΙΩΑΝΝΗΣ-ΜΑΡΙΟΣ</v>
      </c>
      <c r="K8" s="63" t="str">
        <f t="shared" si="0"/>
        <v>ΚΟΚΚΙΝΑΚΗΣ</v>
      </c>
      <c r="L8" s="64" t="str">
        <f>IF($I8&gt;0,VLOOKUP($I8,'[1]DrawPrep'!$C$3:$G$18,3,FALSE),"")</f>
        <v>Ο.Α.ΣΟΥΔΑΣ</v>
      </c>
      <c r="M8" s="51"/>
      <c r="N8" s="12" t="s">
        <v>16</v>
      </c>
      <c r="O8" s="39"/>
      <c r="P8" s="65"/>
      <c r="Q8" s="66">
        <v>1</v>
      </c>
      <c r="R8" s="48" t="str">
        <f>UPPER(IF($A$2="R",IF(OR(Q8=1,Q8="a"),P6,IF(OR(Q8=2,Q8="b"),P10,"")),IF(OR(Q8=1,Q8="a"),P6,IF(OR(Q8=2,Q8="b"),P10,""))))</f>
        <v>ΣΚΑΛΙΔΑΚΗΣ</v>
      </c>
    </row>
    <row r="9" spans="1:18" ht="12" customHeight="1">
      <c r="A9" s="26">
        <v>5</v>
      </c>
      <c r="B9" s="27">
        <f>VALUE('[1]Setup'!E2)</f>
        <v>3</v>
      </c>
      <c r="C9" s="54"/>
      <c r="D9" s="45">
        <f t="shared" si="1"/>
        <v>1</v>
      </c>
      <c r="E9" s="55">
        <v>0</v>
      </c>
      <c r="F9" s="31">
        <f>IF(NOT($G9="-"),VLOOKUP($G9,'[1]DrawPrep'!$A$3:$G$18,2,FALSE),"")</f>
        <v>0</v>
      </c>
      <c r="G9" s="32">
        <f>VLOOKUP($B9,'[1]Setup'!$G$12:$H$27,2,FALSE)</f>
        <v>3</v>
      </c>
      <c r="H9" s="33">
        <f>IF($G9&gt;0,VLOOKUP($G9,'[1]DrawPrep'!$A$3:$G$18,6,FALSE),0)</f>
        <v>120</v>
      </c>
      <c r="I9" s="34">
        <f>IF('[1]Setup'!$B$24="#",0,IF($G9&gt;0,VLOOKUP($G9,'[1]DrawPrep'!$A$3:$G$18,3,FALSE),0))</f>
        <v>24511</v>
      </c>
      <c r="J9" s="35" t="str">
        <f>IF($I9&gt;0,VLOOKUP($I9,'[1]DrawPrep'!$C$3:$G$18,2,FALSE),"bye")</f>
        <v>ΙΩΑΝΝΙΔΗΣ ΝΙΚΟΛΑΟΣ</v>
      </c>
      <c r="K9" s="35" t="str">
        <f t="shared" si="0"/>
        <v>ΙΩΑΝΝΙΔΗΣ</v>
      </c>
      <c r="L9" s="36" t="str">
        <f>IF($I9&gt;0,VLOOKUP($I9,'[1]DrawPrep'!$C$3:$G$18,3,FALSE),"")</f>
        <v>Α.Ο.Α.ΦΙΛΟΘΕΗΣ</v>
      </c>
      <c r="M9" s="67">
        <v>1</v>
      </c>
      <c r="N9" s="38" t="str">
        <f>UPPER(IF($A$2="R",IF(OR(M9=1,M9="a"),I9,IF(OR(M9=2,M9="b"),I10,"")),IF(OR(M9=1,M9="a"),K9,IF(OR(M9=2,M9="b"),K10,""))))</f>
        <v>ΙΩΑΝΝΙΔΗΣ</v>
      </c>
      <c r="O9" s="39"/>
      <c r="P9" s="65"/>
      <c r="Q9" s="39"/>
      <c r="R9" s="68" t="s">
        <v>17</v>
      </c>
    </row>
    <row r="10" spans="1:18" ht="12" customHeight="1">
      <c r="A10" s="42">
        <v>6</v>
      </c>
      <c r="B10" s="43">
        <f>4-D10+4</f>
        <v>7</v>
      </c>
      <c r="C10" s="69">
        <f>IF('[1]Setup'!E2=3,3,4)</f>
        <v>3</v>
      </c>
      <c r="D10" s="45">
        <f t="shared" si="1"/>
        <v>1</v>
      </c>
      <c r="E10" s="46">
        <f>IF($B$2&gt;=C10,1,0)</f>
        <v>0</v>
      </c>
      <c r="F10" s="47">
        <f>IF(NOT($G10="-"),VLOOKUP($G10,'[1]DrawPrep'!$A$3:$G$18,2,FALSE),"")</f>
        <v>0</v>
      </c>
      <c r="G10" s="47">
        <f>IF($B$2&gt;=C10,"-",VLOOKUP($B10,'[1]Setup'!$G$12:$H$27,2,FALSE))</f>
        <v>6</v>
      </c>
      <c r="H10" s="48">
        <f>IF(NOT($G10="-"),VLOOKUP($G10,'[1]DrawPrep'!$A$3:$G$18,6,FALSE),0)</f>
        <v>36</v>
      </c>
      <c r="I10" s="48">
        <f>IF('[1]Setup'!$B$24="#",0,IF(NOT($G10="-"),VLOOKUP($G10,'[1]DrawPrep'!$A$3:$G$18,3,FALSE),0))</f>
        <v>33453</v>
      </c>
      <c r="J10" s="49" t="str">
        <f>IF($I10&gt;0,VLOOKUP($I10,'[1]DrawPrep'!$C$3:$G$18,2,FALSE),"bye")</f>
        <v>ΣΤΑΥΡΟΠΟΥΛΟΣ ΜΑΡΙΟΣ-ΦΩΤΙΟΣ</v>
      </c>
      <c r="K10" s="49" t="str">
        <f t="shared" si="0"/>
        <v>ΣΤΑΥΡΟΠΟΥΛΟΣ</v>
      </c>
      <c r="L10" s="50" t="str">
        <f>IF($I10&gt;0,VLOOKUP($I10,'[1]DrawPrep'!$C$3:$G$18,3,FALSE),"")</f>
        <v>Α.Ο.Α.ΦΙΛΟΘΕΗΣ</v>
      </c>
      <c r="M10" s="51"/>
      <c r="N10" s="52" t="s">
        <v>17</v>
      </c>
      <c r="O10" s="37">
        <v>2</v>
      </c>
      <c r="P10" s="38" t="str">
        <f>UPPER(IF($A$2="R",IF(OR(O10=1,O10="a"),N9,IF(OR(O10=2,O10="b"),N11,"")),IF(OR(O10=1,O10="a"),N9,IF(OR(O10=2,O10="b"),N11,""))))</f>
        <v>ΣΤΥΛΙΑΝΟΥΔΑΚΗΣ</v>
      </c>
      <c r="Q10" s="70"/>
      <c r="R10" s="71"/>
    </row>
    <row r="11" spans="1:18" ht="12" customHeight="1">
      <c r="A11" s="53">
        <v>7</v>
      </c>
      <c r="B11" s="43">
        <f>5-D11+4</f>
        <v>8</v>
      </c>
      <c r="C11" s="44">
        <v>5</v>
      </c>
      <c r="D11" s="45">
        <f t="shared" si="1"/>
        <v>1</v>
      </c>
      <c r="E11" s="46">
        <f>IF($B$2&gt;=C11,1,0)</f>
        <v>0</v>
      </c>
      <c r="F11" s="56">
        <f>IF(NOT($G11="-"),VLOOKUP($G11,'[1]DrawPrep'!$A$3:$G$18,2,FALSE),"")</f>
        <v>0</v>
      </c>
      <c r="G11" s="56">
        <f>IF($B$2&gt;=C11,"-",VLOOKUP($B11,'[1]Setup'!$G$12:$H$27,2,FALSE))</f>
        <v>12</v>
      </c>
      <c r="H11" s="57">
        <f>IF(NOT($G11="-"),VLOOKUP($G11,'[1]DrawPrep'!$A$3:$G$18,6,FALSE),0)</f>
        <v>6</v>
      </c>
      <c r="I11" s="57">
        <f>IF('[1]Setup'!$B$24="#",0,IF(NOT($G11="-"),VLOOKUP($G11,'[1]DrawPrep'!$A$3:$G$18,3,FALSE),0))</f>
        <v>24772</v>
      </c>
      <c r="J11" s="58" t="str">
        <f>IF($I11&gt;0,VLOOKUP($I11,'[1]DrawPrep'!$C$3:$G$18,2,FALSE),"bye")</f>
        <v>ΜΑΡΚΟΓΙΑΝΝΑΚΗΣ ΚΩΝΣΤΑΝΤΙΝΟΣ</v>
      </c>
      <c r="K11" s="58" t="str">
        <f t="shared" si="0"/>
        <v>ΜΑΡΚΟΓΙΑΝΝΑΚΗΣ</v>
      </c>
      <c r="L11" s="59" t="str">
        <f>IF($I11&gt;0,VLOOKUP($I11,'[1]DrawPrep'!$C$3:$G$18,3,FALSE),"")</f>
        <v>Ο.Α.ΡΕΘΥΜΝΟΥ</v>
      </c>
      <c r="M11" s="37">
        <v>2</v>
      </c>
      <c r="N11" s="38" t="str">
        <f>UPPER(IF($A$2="R",IF(OR(M11=1,M11="a"),I11,IF(OR(M11=2,M11="b"),I12,"")),IF(OR(M11=1,M11="a"),K11,IF(OR(M11=2,M11="b"),K12,""))))</f>
        <v>ΣΤΥΛΙΑΝΟΥΔΑΚΗΣ</v>
      </c>
      <c r="O11" s="51"/>
      <c r="P11" s="72" t="s">
        <v>18</v>
      </c>
      <c r="Q11" s="39"/>
      <c r="R11" s="71"/>
    </row>
    <row r="12" spans="1:19" ht="12" customHeight="1">
      <c r="A12" s="60">
        <v>8</v>
      </c>
      <c r="B12" s="43">
        <f>6-D12+4</f>
        <v>9</v>
      </c>
      <c r="C12" s="54"/>
      <c r="D12" s="45">
        <f t="shared" si="1"/>
        <v>1</v>
      </c>
      <c r="E12" s="55">
        <v>0</v>
      </c>
      <c r="F12" s="61">
        <f>IF(NOT($G12="-"),VLOOKUP($G12,'[1]DrawPrep'!$A$3:$G$18,2,FALSE),"")</f>
        <v>0</v>
      </c>
      <c r="G12" s="73">
        <f>VLOOKUP($B12,'[1]Setup'!$G$12:$H$27,2,FALSE)</f>
        <v>10</v>
      </c>
      <c r="H12" s="62">
        <f>IF($G12&gt;0,VLOOKUP($G12,'[1]DrawPrep'!$A$3:$G$18,6,FALSE),0)</f>
        <v>14</v>
      </c>
      <c r="I12" s="62">
        <f>IF('[1]Setup'!$B$24="#",0,IF($G12&gt;0,VLOOKUP($G12,'[1]DrawPrep'!$A$3:$G$18,3,FALSE),0))</f>
        <v>29081</v>
      </c>
      <c r="J12" s="63" t="str">
        <f>IF($I12&gt;0,VLOOKUP($I12,'[1]DrawPrep'!$C$3:$G$18,2,FALSE),"bye")</f>
        <v>ΣΤΥΛΙΑΝΟΥΔΑΚΗΣ ΕΥΑΓΓΕΛΟΣ</v>
      </c>
      <c r="K12" s="63" t="str">
        <f t="shared" si="0"/>
        <v>ΣΤΥΛΙΑΝΟΥΔΑΚΗΣ</v>
      </c>
      <c r="L12" s="64" t="str">
        <f>IF($I12&gt;0,VLOOKUP($I12,'[1]DrawPrep'!$C$3:$G$18,3,FALSE),"")</f>
        <v>Γ.Ο.ΠΕΡΙΣΤΕΡΙΟΥ Γ.ΠΑΛΑΣΚΑΣ</v>
      </c>
      <c r="M12" s="51"/>
      <c r="N12" s="72" t="s">
        <v>16</v>
      </c>
      <c r="P12" s="40"/>
      <c r="Q12" s="66">
        <v>2</v>
      </c>
      <c r="R12" s="74" t="str">
        <f>UPPER(IF($A$2="R",IF(OR(Q12=1,Q12="a"),R8,IF(OR(Q12=2,Q12="b"),R16,"")),IF(OR(Q12=1,Q12="a"),R8,IF(OR(Q12=2,Q12="b"),R16,""))))</f>
        <v>ΠΕΡΔΙΚΟΓΙΑΝΝΗΣ</v>
      </c>
      <c r="S12" s="70"/>
    </row>
    <row r="13" spans="1:18" ht="12" customHeight="1">
      <c r="A13" s="75">
        <v>9</v>
      </c>
      <c r="B13" s="27">
        <f>VALUE('[1]Setup'!E3)</f>
        <v>4</v>
      </c>
      <c r="C13" s="54"/>
      <c r="D13" s="45">
        <f t="shared" si="1"/>
        <v>1</v>
      </c>
      <c r="E13" s="55">
        <v>0</v>
      </c>
      <c r="F13" s="25">
        <f>IF(NOT($G13="-"),VLOOKUP($G13,'[1]DrawPrep'!$A$3:$G$18,2,FALSE),"")</f>
        <v>0</v>
      </c>
      <c r="G13" s="76">
        <f>VLOOKUP($B13,'[1]Setup'!$G$12:$H$27,2,FALSE)</f>
        <v>4</v>
      </c>
      <c r="H13" s="77">
        <f>IF($G13&gt;0,VLOOKUP($G13,'[1]DrawPrep'!$A$3:$G$18,6,FALSE),0)</f>
        <v>116</v>
      </c>
      <c r="I13" s="78">
        <f>IF('[1]Setup'!$B$24="#",0,IF($G13&gt;0,VLOOKUP($G13,'[1]DrawPrep'!$A$3:$G$18,3,FALSE),0))</f>
        <v>24168</v>
      </c>
      <c r="J13" s="79" t="str">
        <f>IF($I13&gt;0,VLOOKUP($I13,'[1]DrawPrep'!$C$3:$G$18,2,FALSE),"bye")</f>
        <v>ΜΙΧΑΗΛΟΣ ΣΤΕΦΑΝΟΣ</v>
      </c>
      <c r="K13" s="79" t="str">
        <f t="shared" si="0"/>
        <v>ΜΙΧΑΗΛΟΣ</v>
      </c>
      <c r="L13" s="80" t="str">
        <f>IF($I13&gt;0,VLOOKUP($I13,'[1]DrawPrep'!$C$3:$G$18,3,FALSE),"")</f>
        <v>ΗΡΑΚΛΕΙΟ Ο.Α.&amp; Α.</v>
      </c>
      <c r="M13" s="37">
        <v>2</v>
      </c>
      <c r="N13" s="38" t="str">
        <f>UPPER(IF($A$2="R",IF(OR(M13=1,M13="a"),I13,IF(OR(M13=2,M13="b"),I14,"")),IF(OR(M13=1,M13="a"),K13,IF(OR(M13=2,M13="b"),K14,""))))</f>
        <v>ΒΟΥΛΓΑΡΑΚΗΣ</v>
      </c>
      <c r="O13" s="39"/>
      <c r="P13" s="40"/>
      <c r="R13" s="81" t="s">
        <v>19</v>
      </c>
    </row>
    <row r="14" spans="1:18" ht="12" customHeight="1">
      <c r="A14" s="75">
        <v>10</v>
      </c>
      <c r="B14" s="43">
        <f>7-D14+4</f>
        <v>10</v>
      </c>
      <c r="C14" s="69">
        <f>IF('[1]Setup'!E2=3,4,3)</f>
        <v>4</v>
      </c>
      <c r="D14" s="45">
        <f t="shared" si="1"/>
        <v>1</v>
      </c>
      <c r="E14" s="46">
        <f>IF($B$2&gt;=C14,1,0)</f>
        <v>0</v>
      </c>
      <c r="F14" s="25">
        <f>IF(NOT($G14="-"),VLOOKUP($G14,'[1]DrawPrep'!$A$3:$G$18,2,FALSE),"")</f>
        <v>0</v>
      </c>
      <c r="G14" s="25">
        <f>IF($B$2&gt;=C14,"-",VLOOKUP($B14,'[1]Setup'!$G$12:$H$27,2,FALSE))</f>
        <v>8</v>
      </c>
      <c r="H14" s="77">
        <f>IF(NOT($G14="-"),VLOOKUP($G14,'[1]DrawPrep'!$A$3:$G$18,6,FALSE),0)</f>
        <v>20</v>
      </c>
      <c r="I14" s="77">
        <f>IF('[1]Setup'!$B$24="#",0,IF(NOT($G14="-"),VLOOKUP($G14,'[1]DrawPrep'!$A$3:$G$18,3,FALSE),0))</f>
        <v>26385</v>
      </c>
      <c r="J14" s="82" t="str">
        <f>IF($I14&gt;0,VLOOKUP($I14,'[1]DrawPrep'!$C$3:$G$18,2,FALSE),"bye")</f>
        <v>ΒΟΥΛΓΑΡΑΚΗΣ ΕΛΕΥΘΕΡΙΟΣ</v>
      </c>
      <c r="K14" s="82" t="str">
        <f t="shared" si="0"/>
        <v>ΒΟΥΛΓΑΡΑΚΗΣ</v>
      </c>
      <c r="L14" s="83" t="str">
        <f>IF($I14&gt;0,VLOOKUP($I14,'[1]DrawPrep'!$C$3:$G$18,3,FALSE),"")</f>
        <v>Ο.Α.ΣΟΥΔΑΣ</v>
      </c>
      <c r="M14" s="51"/>
      <c r="N14" s="52" t="s">
        <v>20</v>
      </c>
      <c r="O14" s="37">
        <v>1</v>
      </c>
      <c r="P14" s="38" t="str">
        <f>UPPER(IF($A$2="R",IF(OR(O14=1,O14="a"),N13,IF(OR(O14=2,O14="b"),N15,"")),IF(OR(O14=1,O14="a"),N13,IF(OR(O14=2,O14="b"),N15,""))))</f>
        <v>ΒΟΥΛΓΑΡΑΚΗΣ</v>
      </c>
      <c r="Q14" s="39"/>
      <c r="R14" s="71"/>
    </row>
    <row r="15" spans="1:18" ht="12" customHeight="1">
      <c r="A15" s="53">
        <v>11</v>
      </c>
      <c r="B15" s="43">
        <f>8-D15+4</f>
        <v>11</v>
      </c>
      <c r="C15" s="54"/>
      <c r="D15" s="45">
        <f t="shared" si="1"/>
        <v>1</v>
      </c>
      <c r="E15" s="55">
        <v>0</v>
      </c>
      <c r="F15" s="56">
        <f>IF(NOT($G15="-"),VLOOKUP($G15,'[1]DrawPrep'!$A$3:$G$18,2,FALSE),"")</f>
        <v>0</v>
      </c>
      <c r="G15" s="56">
        <f>VLOOKUP($B15,'[1]Setup'!$G$12:$H$27,2,FALSE)</f>
        <v>15</v>
      </c>
      <c r="H15" s="57">
        <f>IF($G15&gt;0,VLOOKUP($G15,'[1]DrawPrep'!$A$3:$G$18,6,FALSE),0)</f>
        <v>6</v>
      </c>
      <c r="I15" s="57">
        <f>IF('[1]Setup'!$B$24="#",0,IF($G15&gt;0,VLOOKUP($G15,'[1]DrawPrep'!$A$3:$G$18,3,FALSE),0))</f>
        <v>27236</v>
      </c>
      <c r="J15" s="58" t="str">
        <f>IF($I15&gt;0,VLOOKUP($I15,'[1]DrawPrep'!$C$3:$G$18,2,FALSE),"bye")</f>
        <v>ΚΑΤΣΑΓΚΟΛΗΣ ΑΣΤΕΡΙΟΣ</v>
      </c>
      <c r="K15" s="58" t="str">
        <f t="shared" si="0"/>
        <v>ΚΑΤΣΑΓΚΟΛΗΣ</v>
      </c>
      <c r="L15" s="59" t="str">
        <f>IF($I15&gt;0,VLOOKUP($I15,'[1]DrawPrep'!$C$3:$G$18,3,FALSE),"")</f>
        <v>Γ.Σ.ΛΙΒΥΚΟΣ ΙΕΡΑΠΕΤΡΑΣ</v>
      </c>
      <c r="M15" s="37">
        <v>2</v>
      </c>
      <c r="N15" s="38" t="str">
        <f>UPPER(IF($A$2="R",IF(OR(M15=1,M15="a"),I15,IF(OR(M15=2,M15="b"),I16,"")),IF(OR(M15=1,M15="a"),K15,IF(OR(M15=2,M15="b"),K16,""))))</f>
        <v>ΜΙΜΙΝΗΣ</v>
      </c>
      <c r="O15" s="51"/>
      <c r="P15" s="52" t="s">
        <v>17</v>
      </c>
      <c r="Q15" s="39"/>
      <c r="R15" s="71"/>
    </row>
    <row r="16" spans="1:19" ht="12" customHeight="1">
      <c r="A16" s="60">
        <v>12</v>
      </c>
      <c r="B16" s="43">
        <f>9-D16+4</f>
        <v>12</v>
      </c>
      <c r="C16" s="44">
        <v>6</v>
      </c>
      <c r="D16" s="45">
        <f t="shared" si="1"/>
        <v>1</v>
      </c>
      <c r="E16" s="46">
        <f>IF($B$2&gt;=C16,1,0)</f>
        <v>0</v>
      </c>
      <c r="F16" s="61">
        <f>IF(NOT($G16="-"),VLOOKUP($G16,'[1]DrawPrep'!$A$3:$G$18,2,FALSE),"")</f>
        <v>0</v>
      </c>
      <c r="G16" s="61">
        <f>IF($B$2&gt;=C16,"-",VLOOKUP($B16,'[1]Setup'!$G$12:$H$27,2,FALSE))</f>
        <v>13</v>
      </c>
      <c r="H16" s="62">
        <f>IF(NOT($G16="-"),VLOOKUP($G16,'[1]DrawPrep'!$A$3:$G$18,6,FALSE),0)</f>
        <v>6</v>
      </c>
      <c r="I16" s="62">
        <f>IF('[1]Setup'!$B$24="#",0,IF(NOT($G16="-"),VLOOKUP($G16,'[1]DrawPrep'!$A$3:$G$18,3,FALSE),0))</f>
        <v>23408</v>
      </c>
      <c r="J16" s="63" t="str">
        <f>IF($I16&gt;0,VLOOKUP($I16,'[1]DrawPrep'!$C$3:$G$18,2,FALSE),"bye")</f>
        <v>ΜΙΜΙΝΗΣ ΙΩΑΝΝΗΣ</v>
      </c>
      <c r="K16" s="63" t="str">
        <f t="shared" si="0"/>
        <v>ΜΙΜΙΝΗΣ</v>
      </c>
      <c r="L16" s="64" t="str">
        <f>IF($I16&gt;0,VLOOKUP($I16,'[1]DrawPrep'!$C$3:$G$18,3,FALSE),"")</f>
        <v>Ο.Α.ΡΕΘΥΜΝΟΥ</v>
      </c>
      <c r="M16" s="84"/>
      <c r="N16" s="72" t="s">
        <v>15</v>
      </c>
      <c r="O16" s="39"/>
      <c r="P16" s="65"/>
      <c r="Q16" s="66">
        <v>2</v>
      </c>
      <c r="R16" s="85" t="str">
        <f>UPPER(IF($A$2="R",IF(OR(Q16=1,Q16="a"),P14,IF(OR(Q16=2,Q16="b"),P18,"")),IF(OR(Q16=1,Q16="a"),P14,IF(OR(Q16=2,Q16="b"),P18,""))))</f>
        <v>ΠΕΡΔΙΚΟΓΙΑΝΝΗΣ</v>
      </c>
      <c r="S16" s="70"/>
    </row>
    <row r="17" spans="1:18" ht="12" customHeight="1">
      <c r="A17" s="75">
        <v>13</v>
      </c>
      <c r="B17" s="43">
        <f>10-D17+4</f>
        <v>13</v>
      </c>
      <c r="C17" s="54"/>
      <c r="D17" s="45">
        <f t="shared" si="1"/>
        <v>1</v>
      </c>
      <c r="E17" s="55">
        <v>0</v>
      </c>
      <c r="F17" s="25">
        <f>IF(NOT($G17="-"),VLOOKUP($G17,'[1]DrawPrep'!$A$3:$G$18,2,FALSE),"")</f>
        <v>0</v>
      </c>
      <c r="G17" s="25">
        <f>VLOOKUP($B17,'[1]Setup'!$G$12:$H$27,2,FALSE)</f>
        <v>7</v>
      </c>
      <c r="H17" s="77">
        <f>IF($G17&gt;0,VLOOKUP($G17,'[1]DrawPrep'!$A$3:$G$18,6,FALSE),0)</f>
        <v>25</v>
      </c>
      <c r="I17" s="77">
        <f>IF('[1]Setup'!$B$24="#",0,IF($G17&gt;0,VLOOKUP($G17,'[1]DrawPrep'!$A$3:$G$18,3,FALSE),0))</f>
        <v>30190</v>
      </c>
      <c r="J17" s="82" t="str">
        <f>IF($I17&gt;0,VLOOKUP($I17,'[1]DrawPrep'!$C$3:$G$18,2,FALSE),"bye")</f>
        <v>ΜΑΤΣΟΥΚΑΣ ΙΩΑΝΝΗΣ</v>
      </c>
      <c r="K17" s="82" t="str">
        <f t="shared" si="0"/>
        <v>ΜΑΤΣΟΥΚΑΣ</v>
      </c>
      <c r="L17" s="83" t="str">
        <f>IF($I17&gt;0,VLOOKUP($I17,'[1]DrawPrep'!$C$3:$G$18,3,FALSE),"")</f>
        <v>Ο.Α.ΧΑΛΚΙΔΑΣ</v>
      </c>
      <c r="M17" s="37">
        <v>1</v>
      </c>
      <c r="N17" s="38" t="str">
        <f>UPPER(IF($A$2="R",IF(OR(M17=1,M17="a"),I17,IF(OR(M17=2,M17="b"),I18,"")),IF(OR(M17=1,M17="a"),K17,IF(OR(M17=2,M17="b"),K18,""))))</f>
        <v>ΜΑΤΣΟΥΚΑΣ</v>
      </c>
      <c r="O17" s="39"/>
      <c r="P17" s="65"/>
      <c r="Q17" s="39"/>
      <c r="R17" s="25" t="s">
        <v>17</v>
      </c>
    </row>
    <row r="18" spans="1:18" ht="12" customHeight="1">
      <c r="A18" s="75">
        <v>14</v>
      </c>
      <c r="B18" s="43">
        <f>11-D18+4</f>
        <v>14</v>
      </c>
      <c r="C18" s="44">
        <v>8</v>
      </c>
      <c r="D18" s="45">
        <f t="shared" si="1"/>
        <v>1</v>
      </c>
      <c r="E18" s="46">
        <f>IF($B$2&gt;=C18,1,0)</f>
        <v>0</v>
      </c>
      <c r="F18" s="25">
        <f>IF(NOT($G18="-"),VLOOKUP($G18,'[1]DrawPrep'!$A$3:$G$18,2,FALSE),"")</f>
        <v>0</v>
      </c>
      <c r="G18" s="25">
        <f>IF($B$2&gt;=C18,"-",VLOOKUP($B18,'[1]Setup'!$G$12:$H$27,2,FALSE))</f>
        <v>9</v>
      </c>
      <c r="H18" s="77">
        <f>IF(NOT($G18="-"),VLOOKUP($G18,'[1]DrawPrep'!$A$3:$G$18,6,FALSE),0)</f>
        <v>16</v>
      </c>
      <c r="I18" s="77">
        <f>IF('[1]Setup'!$B$24="#",0,IF(NOT($G18="-"),VLOOKUP($G18,'[1]DrawPrep'!$A$3:$G$18,3,FALSE),0))</f>
        <v>29651</v>
      </c>
      <c r="J18" s="82" t="str">
        <f>IF($I18&gt;0,VLOOKUP($I18,'[1]DrawPrep'!$C$3:$G$18,2,FALSE),"bye")</f>
        <v>ΝΙΚΟΛΑΚΑΚΗΣ ΙΩΑΝΝΗΣ</v>
      </c>
      <c r="K18" s="82" t="str">
        <f t="shared" si="0"/>
        <v>ΝΙΚΟΛΑΚΑΚΗΣ</v>
      </c>
      <c r="L18" s="83" t="str">
        <f>IF($I18&gt;0,VLOOKUP($I18,'[1]DrawPrep'!$C$3:$G$18,3,FALSE),"")</f>
        <v>ΗΡΑΚΛΕΙΟ Ο.Α.&amp; Α.</v>
      </c>
      <c r="M18" s="51"/>
      <c r="N18" s="52" t="s">
        <v>20</v>
      </c>
      <c r="O18" s="37">
        <v>2</v>
      </c>
      <c r="P18" s="38" t="str">
        <f>UPPER(IF($A$2="R",IF(OR(O18=1,O18="a"),N17,IF(OR(O18=2,O18="b"),N19,"")),IF(OR(O18=1,O18="a"),N17,IF(OR(O18=2,O18="b"),N19,""))))</f>
        <v>ΠΕΡΔΙΚΟΓΙΑΝΝΗΣ</v>
      </c>
      <c r="Q18" s="70"/>
      <c r="R18" s="40"/>
    </row>
    <row r="19" spans="1:18" ht="12" customHeight="1">
      <c r="A19" s="53">
        <v>15</v>
      </c>
      <c r="B19" s="43">
        <f>12-D19+4</f>
        <v>15</v>
      </c>
      <c r="C19" s="44">
        <v>2</v>
      </c>
      <c r="D19" s="45">
        <f t="shared" si="1"/>
        <v>1</v>
      </c>
      <c r="E19" s="46">
        <f>IF($B$2&gt;=C19,1,0)</f>
        <v>0</v>
      </c>
      <c r="F19" s="56">
        <f>IF(NOT($G19="-"),VLOOKUP($G19,'[1]DrawPrep'!$A$3:$G$18,2,FALSE),"")</f>
        <v>0</v>
      </c>
      <c r="G19" s="56">
        <f>IF($B$2&gt;=C19,"-",VLOOKUP($B19,'[1]Setup'!$G$12:$H$27,2,FALSE))</f>
        <v>5</v>
      </c>
      <c r="H19" s="57">
        <f>IF(NOT($G19="-"),VLOOKUP($G19,'[1]DrawPrep'!$A$3:$G$18,6,FALSE),0)</f>
        <v>110</v>
      </c>
      <c r="I19" s="57">
        <f>IF('[1]Setup'!$B$24="#",0,IF(NOT($G19="-"),VLOOKUP($G19,'[1]DrawPrep'!$A$3:$G$18,3,FALSE),0))</f>
        <v>24165</v>
      </c>
      <c r="J19" s="58" t="str">
        <f>IF($I19&gt;0,VLOOKUP($I19,'[1]DrawPrep'!$C$3:$G$18,2,FALSE),"bye")</f>
        <v>ΠΕΡΔΙΚΟΓΙΑΝΝΗΣ ΣΤΥΛΙΑΝΟΣ</v>
      </c>
      <c r="K19" s="58" t="str">
        <f t="shared" si="0"/>
        <v>ΠΕΡΔΙΚΟΓΙΑΝΝΗΣ</v>
      </c>
      <c r="L19" s="59" t="str">
        <f>IF($I19&gt;0,VLOOKUP($I19,'[1]DrawPrep'!$C$3:$G$18,3,FALSE),"")</f>
        <v>ΗΡΑΚΛΕΙΟ Ο.Α.&amp; Α.</v>
      </c>
      <c r="M19" s="37">
        <v>1</v>
      </c>
      <c r="N19" s="38" t="str">
        <f>UPPER(IF($A$2="R",IF(OR(M19=1,M19="a"),I19,IF(OR(M19=2,M19="b"),I20,"")),IF(OR(M19=1,M19="a"),K19,IF(OR(M19=2,M19="b"),K20,""))))</f>
        <v>ΠΕΡΔΙΚΟΓΙΑΝΝΗΣ</v>
      </c>
      <c r="O19" s="51"/>
      <c r="P19" s="72" t="s">
        <v>21</v>
      </c>
      <c r="Q19" s="39"/>
      <c r="R19" s="40"/>
    </row>
    <row r="20" spans="1:19" ht="12" customHeight="1">
      <c r="A20" s="60">
        <v>16</v>
      </c>
      <c r="B20" s="27">
        <v>2</v>
      </c>
      <c r="C20" s="54"/>
      <c r="D20" s="45">
        <f t="shared" si="1"/>
        <v>1</v>
      </c>
      <c r="E20" s="55">
        <v>0</v>
      </c>
      <c r="F20" s="61">
        <f>IF(NOT($G20="-"),VLOOKUP($G20,'[1]DrawPrep'!$A$3:$G$18,2,FALSE),"")</f>
        <v>0</v>
      </c>
      <c r="G20" s="86">
        <f>VLOOKUP($B20,'[1]Setup'!$G$12:$H$27,2,FALSE)</f>
        <v>2</v>
      </c>
      <c r="H20" s="62">
        <f>IF($G20&gt;0,VLOOKUP($G20,'[1]DrawPrep'!$A$3:$G$18,6,FALSE),0)</f>
        <v>152</v>
      </c>
      <c r="I20" s="87">
        <f>IF('[1]Setup'!$B$24="#",0,IF($G20&gt;0,VLOOKUP($G20,'[1]DrawPrep'!$A$3:$G$18,3,FALSE),0))</f>
        <v>25914</v>
      </c>
      <c r="J20" s="88" t="str">
        <f>IF($I20&gt;0,VLOOKUP($I20,'[1]DrawPrep'!$C$3:$G$18,2,FALSE),"bye")</f>
        <v>ΑΛΕΒΙΖΟΠΟΥΛΟΣ ΦΙΛΙΠΠΟΣ</v>
      </c>
      <c r="K20" s="88" t="str">
        <f t="shared" si="0"/>
        <v>ΑΛΕΒΙΖΟΠΟΥΛΟΣ</v>
      </c>
      <c r="L20" s="89" t="str">
        <f>IF($I20&gt;0,VLOOKUP($I20,'[1]DrawPrep'!$C$3:$G$18,3,FALSE),"")</f>
        <v>Ο.Α.ΓΛΥΦΑΔΑΣ</v>
      </c>
      <c r="M20" s="51"/>
      <c r="N20" s="72" t="s">
        <v>22</v>
      </c>
      <c r="O20" s="39"/>
      <c r="P20" s="40"/>
      <c r="Q20" s="39"/>
      <c r="R20" s="40"/>
      <c r="S20" s="23"/>
    </row>
    <row r="21" spans="14:18" ht="11.25">
      <c r="N21" s="91" t="s">
        <v>23</v>
      </c>
      <c r="P21" s="91" t="s">
        <v>23</v>
      </c>
      <c r="R21" s="91" t="s">
        <v>23</v>
      </c>
    </row>
    <row r="22" spans="7:16" ht="11.25">
      <c r="G22" s="92"/>
      <c r="H22" s="92"/>
      <c r="P22" s="40"/>
    </row>
    <row r="23" spans="7:16" ht="11.25">
      <c r="G23" s="25"/>
      <c r="H23" s="25"/>
      <c r="P23" s="93"/>
    </row>
    <row r="24" spans="3:19" s="94" customFormat="1" ht="9.75">
      <c r="C24" s="95"/>
      <c r="D24" s="96"/>
      <c r="E24" s="96"/>
      <c r="G24" s="95"/>
      <c r="H24" s="95"/>
      <c r="I24" s="96"/>
      <c r="J24" s="97" t="s">
        <v>24</v>
      </c>
      <c r="K24" s="98"/>
      <c r="M24" s="99"/>
      <c r="O24" s="100"/>
      <c r="Q24" s="100"/>
      <c r="R24" s="101"/>
      <c r="S24" s="102"/>
    </row>
    <row r="25" spans="3:19" s="94" customFormat="1" ht="9.75">
      <c r="C25" s="95"/>
      <c r="D25" s="96"/>
      <c r="E25" s="96"/>
      <c r="G25" s="95"/>
      <c r="H25" s="95"/>
      <c r="I25" s="96"/>
      <c r="J25" s="103" t="str">
        <f>"1. "&amp;IF('[1]Setup'!B19&gt;0,LEFT('[1]DrawPrep'!D3,FIND(" ",'[1]DrawPrep'!D3)+1),"")</f>
        <v>1. ΣΚΑΛΙΔΑΚΗΣ Δ</v>
      </c>
      <c r="K25" s="101"/>
      <c r="M25" s="104"/>
      <c r="N25" s="104"/>
      <c r="O25" s="100"/>
      <c r="Q25" s="100"/>
      <c r="R25" s="101"/>
      <c r="S25" s="102"/>
    </row>
    <row r="26" spans="3:19" s="94" customFormat="1" ht="9.75">
      <c r="C26" s="95"/>
      <c r="D26" s="96"/>
      <c r="E26" s="96"/>
      <c r="G26" s="95"/>
      <c r="H26" s="95"/>
      <c r="I26" s="96"/>
      <c r="J26" s="103" t="str">
        <f>"2. "&amp;IF('[1]Setup'!B19&gt;1,LEFT('[1]DrawPrep'!D4,FIND(" ",'[1]DrawPrep'!D4)+1),"")</f>
        <v>2. ΑΛΕΒΙΖΟΠΟΥΛΟΣ Φ</v>
      </c>
      <c r="K26" s="101"/>
      <c r="M26" s="99"/>
      <c r="O26" s="100"/>
      <c r="Q26" s="100"/>
      <c r="R26" s="105" t="s">
        <v>25</v>
      </c>
      <c r="S26" s="102"/>
    </row>
    <row r="27" spans="3:19" s="94" customFormat="1" ht="9.75">
      <c r="C27" s="95"/>
      <c r="D27" s="96"/>
      <c r="E27" s="96"/>
      <c r="G27" s="95"/>
      <c r="H27" s="95"/>
      <c r="I27" s="96"/>
      <c r="J27" s="103" t="str">
        <f>"3. "&amp;IF('[1]Setup'!B19&gt;2,LEFT('[1]DrawPrep'!D5,FIND(" ",'[1]DrawPrep'!D5)+1),"")</f>
        <v>3. ΙΩΑΝΝΙΔΗΣ Ν</v>
      </c>
      <c r="K27" s="101"/>
      <c r="M27" s="99"/>
      <c r="O27" s="100"/>
      <c r="Q27" s="100"/>
      <c r="R27" s="111" t="str">
        <f>'[1]Setup'!B10</f>
        <v>Πατσουράκου Ντ</v>
      </c>
      <c r="S27" s="111"/>
    </row>
    <row r="28" spans="3:19" s="94" customFormat="1" ht="9.75">
      <c r="C28" s="95"/>
      <c r="D28" s="96"/>
      <c r="E28" s="96"/>
      <c r="G28" s="95"/>
      <c r="H28" s="95"/>
      <c r="I28" s="96"/>
      <c r="J28" s="103" t="str">
        <f>"4. "&amp;IF('[1]Setup'!B19&gt;3,LEFT('[1]DrawPrep'!D6,FIND(" ",'[1]DrawPrep'!D6)+1),"")</f>
        <v>4. ΜΙΧΑΗΛΟΣ Σ</v>
      </c>
      <c r="K28" s="101"/>
      <c r="M28" s="99"/>
      <c r="O28" s="100"/>
      <c r="Q28" s="100"/>
      <c r="R28" s="101"/>
      <c r="S28" s="102"/>
    </row>
    <row r="39" ht="11.25">
      <c r="J39" s="106"/>
    </row>
    <row r="40" ht="11.25">
      <c r="J40" s="107" t="s">
        <v>26</v>
      </c>
    </row>
    <row r="41" ht="11.25">
      <c r="J41" s="108" t="str">
        <f>IF('[1]Setup'!$B$19&gt;0,LEFT('[1]DrawPrep'!D3,FIND(" ",'[1]DrawPrep'!D3)-1))</f>
        <v>ΣΚΑΛΙΔΑΚΗΣ</v>
      </c>
    </row>
    <row r="42" ht="11.25">
      <c r="J42" s="108" t="str">
        <f>IF('[1]Setup'!$B$19&gt;1,LEFT('[1]DrawPrep'!D4,FIND(" ",'[1]DrawPrep'!D4)-1))</f>
        <v>ΑΛΕΒΙΖΟΠΟΥΛΟΣ</v>
      </c>
    </row>
    <row r="43" ht="11.25">
      <c r="J43" s="108" t="str">
        <f>IF('[1]Setup'!$B$19&gt;2,LEFT('[1]DrawPrep'!D5,FIND(" ",'[1]DrawPrep'!D5)-1))</f>
        <v>ΙΩΑΝΝΙΔΗΣ</v>
      </c>
    </row>
    <row r="44" ht="11.25">
      <c r="J44" s="108" t="str">
        <f>IF('[1]Setup'!$B$19&gt;3,LEFT('[1]DrawPrep'!D6,FIND(" ",'[1]DrawPrep'!D6)-1))</f>
        <v>ΜΙΧΑΗΛΟΣ</v>
      </c>
    </row>
    <row r="45" ht="12">
      <c r="J45" s="109"/>
    </row>
    <row r="46" ht="12">
      <c r="J46" s="110"/>
    </row>
    <row r="47" ht="12">
      <c r="J47" s="110"/>
    </row>
    <row r="48" ht="12">
      <c r="J48" s="110"/>
    </row>
  </sheetData>
  <sheetProtection password="CF33" sheet="1" objects="1" scenarios="1" formatCells="0" formatColumns="0" formatRows="0" insertColumns="0"/>
  <protectedRanges>
    <protectedRange sqref="G5:G20" name="seeds"/>
    <protectedRange sqref="N6 N8 N10 N12 N14 N16 N18 N20 P7 P11 P15 P19 R9 R17" name="scores"/>
    <protectedRange sqref="M5 M7 M9 M11 M13 M15 M17 M19 O6 O10 O14 O18 Q8 Q16 Q12" name="winners"/>
  </protectedRanges>
  <mergeCells count="3">
    <mergeCell ref="R27:S27"/>
    <mergeCell ref="J3:L3"/>
    <mergeCell ref="A1:P1"/>
  </mergeCells>
  <conditionalFormatting sqref="N5 N7 N9 N11 N13 N15 N17 N19 P18 P14 P10 P6 R8 R16">
    <cfRule type="expression" priority="1" dxfId="0" stopIfTrue="1">
      <formula>MATCH(N5,$J$41:$J$44,0)</formula>
    </cfRule>
  </conditionalFormatting>
  <conditionalFormatting sqref="R12">
    <cfRule type="expression" priority="2" dxfId="0" stopIfTrue="1">
      <formula>MATCH(R12,$J$41:$J$44,0)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momou</dc:creator>
  <cp:keywords/>
  <dc:description/>
  <cp:lastModifiedBy>nikiforakis stavros</cp:lastModifiedBy>
  <dcterms:created xsi:type="dcterms:W3CDTF">2013-06-20T15:41:49Z</dcterms:created>
  <dcterms:modified xsi:type="dcterms:W3CDTF">2013-07-05T07:33:14Z</dcterms:modified>
  <cp:category/>
  <cp:version/>
  <cp:contentType/>
  <cp:contentStatus/>
</cp:coreProperties>
</file>